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per\Global Timber 2025 Paper\AA Resubmitted Files\"/>
    </mc:Choice>
  </mc:AlternateContent>
  <xr:revisionPtr revIDLastSave="0" documentId="8_{AABC660F-0715-401B-91E8-0933586812F2}" xr6:coauthVersionLast="47" xr6:coauthVersionMax="47" xr10:uidLastSave="{00000000-0000-0000-0000-000000000000}"/>
  <bookViews>
    <workbookView xWindow="576" yWindow="852" windowWidth="22464" windowHeight="11388" tabRatio="678" xr2:uid="{00000000-000D-0000-FFFF-FFFF00000000}"/>
  </bookViews>
  <sheets>
    <sheet name="Shortleaf Hi FIA 1077 Seedlings" sheetId="14" r:id="rId1"/>
  </sheets>
  <definedNames>
    <definedName name="_xlnm.Print_Area" localSheetId="0">'Shortleaf Hi FIA 1077 Seedlings'!$A$1:$Q$165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93" i="14" l="1"/>
  <c r="AP91" i="14"/>
  <c r="S92" i="14"/>
  <c r="S93" i="14"/>
  <c r="S91" i="14"/>
  <c r="B85" i="14" l="1"/>
  <c r="AB74" i="14"/>
  <c r="AB120" i="14" s="1"/>
  <c r="AB121" i="14" s="1"/>
  <c r="AC74" i="14"/>
  <c r="AD74" i="14"/>
  <c r="AD120" i="14" s="1"/>
  <c r="AD121" i="14" s="1"/>
  <c r="AE74" i="14"/>
  <c r="AE120" i="14" s="1"/>
  <c r="AE121" i="14" s="1"/>
  <c r="AF74" i="14"/>
  <c r="AF120" i="14" s="1"/>
  <c r="AF121" i="14" s="1"/>
  <c r="AG74" i="14"/>
  <c r="AG120" i="14" s="1"/>
  <c r="AG121" i="14" s="1"/>
  <c r="AH74" i="14"/>
  <c r="AI74" i="14"/>
  <c r="AI120" i="14" s="1"/>
  <c r="AI121" i="14" s="1"/>
  <c r="AJ74" i="14"/>
  <c r="AJ120" i="14" s="1"/>
  <c r="AJ121" i="14" s="1"/>
  <c r="AK74" i="14"/>
  <c r="AL74" i="14"/>
  <c r="AL120" i="14" s="1"/>
  <c r="AL121" i="14" s="1"/>
  <c r="AM74" i="14"/>
  <c r="AM120" i="14" s="1"/>
  <c r="AM121" i="14" s="1"/>
  <c r="AN74" i="14"/>
  <c r="AN120" i="14" s="1"/>
  <c r="AN121" i="14" s="1"/>
  <c r="AO74" i="14"/>
  <c r="AO120" i="14" s="1"/>
  <c r="AO121" i="14" s="1"/>
  <c r="AP74" i="14"/>
  <c r="AP120" i="14" s="1"/>
  <c r="AP121" i="14" s="1"/>
  <c r="AB60" i="14"/>
  <c r="AC60" i="14"/>
  <c r="AD60" i="14"/>
  <c r="AE60" i="14"/>
  <c r="AF60" i="14" s="1"/>
  <c r="AG60" i="14" s="1"/>
  <c r="AH60" i="14" s="1"/>
  <c r="AI60" i="14" s="1"/>
  <c r="AJ60" i="14" s="1"/>
  <c r="AK60" i="14" s="1"/>
  <c r="AL60" i="14" s="1"/>
  <c r="AM60" i="14" s="1"/>
  <c r="AN60" i="14" s="1"/>
  <c r="AO60" i="14" s="1"/>
  <c r="AP60" i="14" s="1"/>
  <c r="B34" i="14"/>
  <c r="B29" i="14"/>
  <c r="I50" i="14"/>
  <c r="AK120" i="14" l="1"/>
  <c r="AK121" i="14" s="1"/>
  <c r="AC120" i="14"/>
  <c r="AC121" i="14" s="1"/>
  <c r="AH120" i="14"/>
  <c r="AH121" i="14" s="1"/>
  <c r="B148" i="14"/>
  <c r="E98" i="14"/>
  <c r="E99" i="14"/>
  <c r="E100" i="14"/>
  <c r="E101" i="14"/>
  <c r="E97" i="14"/>
  <c r="O114" i="14" l="1"/>
  <c r="O126" i="14" s="1"/>
  <c r="AF114" i="14"/>
  <c r="AN114" i="14"/>
  <c r="AK114" i="14"/>
  <c r="AE114" i="14"/>
  <c r="AG114" i="14"/>
  <c r="AO114" i="14"/>
  <c r="AI114" i="14"/>
  <c r="AJ114" i="14"/>
  <c r="AC114" i="14"/>
  <c r="AL114" i="14"/>
  <c r="AH114" i="14"/>
  <c r="AB114" i="14"/>
  <c r="AD114" i="14"/>
  <c r="AM114" i="14"/>
  <c r="AA114" i="14"/>
  <c r="AA126" i="14" s="1"/>
  <c r="V114" i="14"/>
  <c r="V126" i="14" s="1"/>
  <c r="W114" i="14"/>
  <c r="W126" i="14" s="1"/>
  <c r="P114" i="14"/>
  <c r="P126" i="14" s="1"/>
  <c r="S114" i="14"/>
  <c r="S126" i="14" s="1"/>
  <c r="Z114" i="14"/>
  <c r="Z126" i="14" s="1"/>
  <c r="Y114" i="14"/>
  <c r="Y126" i="14" s="1"/>
  <c r="X114" i="14"/>
  <c r="X126" i="14" s="1"/>
  <c r="Q114" i="14"/>
  <c r="Q126" i="14" s="1"/>
  <c r="U114" i="14"/>
  <c r="U126" i="14" s="1"/>
  <c r="T114" i="14"/>
  <c r="T126" i="14" s="1"/>
  <c r="R114" i="14"/>
  <c r="R126" i="14" s="1"/>
  <c r="AI126" i="14" l="1"/>
  <c r="AI127" i="14" s="1"/>
  <c r="AI117" i="14"/>
  <c r="AD126" i="14"/>
  <c r="AD127" i="14" s="1"/>
  <c r="AD117" i="14"/>
  <c r="AO126" i="14"/>
  <c r="AO127" i="14" s="1"/>
  <c r="AO117" i="14"/>
  <c r="AB126" i="14"/>
  <c r="AB127" i="14" s="1"/>
  <c r="AB117" i="14"/>
  <c r="AH126" i="14"/>
  <c r="AH127" i="14" s="1"/>
  <c r="AH117" i="14"/>
  <c r="AK126" i="14"/>
  <c r="AK127" i="14" s="1"/>
  <c r="AK117" i="14"/>
  <c r="AL126" i="14"/>
  <c r="AL127" i="14" s="1"/>
  <c r="AL117" i="14"/>
  <c r="AN126" i="14"/>
  <c r="AN127" i="14" s="1"/>
  <c r="AN117" i="14"/>
  <c r="AM126" i="14"/>
  <c r="AM127" i="14" s="1"/>
  <c r="AM117" i="14"/>
  <c r="AC126" i="14"/>
  <c r="AC127" i="14" s="1"/>
  <c r="AC117" i="14"/>
  <c r="AF126" i="14"/>
  <c r="AF127" i="14" s="1"/>
  <c r="AF117" i="14"/>
  <c r="AG126" i="14"/>
  <c r="AG127" i="14" s="1"/>
  <c r="AG117" i="14"/>
  <c r="AE126" i="14"/>
  <c r="AE127" i="14" s="1"/>
  <c r="AE117" i="14"/>
  <c r="AJ117" i="14"/>
  <c r="AJ126" i="14"/>
  <c r="AJ127" i="14" s="1"/>
  <c r="F114" i="14"/>
  <c r="B150" i="14"/>
  <c r="B152" i="14" l="1"/>
  <c r="B154" i="14" s="1"/>
  <c r="B22" i="14"/>
  <c r="B75" i="14" s="1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B82" i="14"/>
  <c r="C86" i="14"/>
  <c r="D86" i="14" s="1"/>
  <c r="E86" i="14" s="1"/>
  <c r="F86" i="14" s="1"/>
  <c r="G86" i="14" s="1"/>
  <c r="H86" i="14" s="1"/>
  <c r="I86" i="14" s="1"/>
  <c r="J86" i="14" s="1"/>
  <c r="K86" i="14" s="1"/>
  <c r="L86" i="14" s="1"/>
  <c r="M86" i="14" s="1"/>
  <c r="N86" i="14" s="1"/>
  <c r="O86" i="14" s="1"/>
  <c r="P86" i="14" s="1"/>
  <c r="Q86" i="14" s="1"/>
  <c r="R86" i="14" s="1"/>
  <c r="S86" i="14" s="1"/>
  <c r="T86" i="14" s="1"/>
  <c r="U86" i="14" s="1"/>
  <c r="V86" i="14" s="1"/>
  <c r="W86" i="14" s="1"/>
  <c r="X86" i="14" s="1"/>
  <c r="Y86" i="14" s="1"/>
  <c r="Z86" i="14" s="1"/>
  <c r="AA86" i="14" s="1"/>
  <c r="AB86" i="14" s="1"/>
  <c r="AC86" i="14" s="1"/>
  <c r="AD86" i="14" s="1"/>
  <c r="AE86" i="14" s="1"/>
  <c r="AF86" i="14" s="1"/>
  <c r="AG86" i="14" s="1"/>
  <c r="AH86" i="14" s="1"/>
  <c r="AI86" i="14" s="1"/>
  <c r="AJ86" i="14" s="1"/>
  <c r="AK86" i="14" s="1"/>
  <c r="AL86" i="14" s="1"/>
  <c r="AM86" i="14" s="1"/>
  <c r="AN86" i="14" s="1"/>
  <c r="AO86" i="14" s="1"/>
  <c r="AP86" i="14" s="1"/>
  <c r="AP88" i="14" s="1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N114" i="14"/>
  <c r="N126" i="14" s="1"/>
  <c r="M114" i="14"/>
  <c r="M126" i="14" s="1"/>
  <c r="L114" i="14"/>
  <c r="L126" i="14" s="1"/>
  <c r="K114" i="14"/>
  <c r="K126" i="14" s="1"/>
  <c r="J114" i="14"/>
  <c r="J126" i="14" s="1"/>
  <c r="I114" i="14"/>
  <c r="I126" i="14" s="1"/>
  <c r="H114" i="14"/>
  <c r="H126" i="14" s="1"/>
  <c r="G114" i="14"/>
  <c r="G126" i="14" s="1"/>
  <c r="F126" i="14"/>
  <c r="E114" i="14"/>
  <c r="E126" i="14" s="1"/>
  <c r="D114" i="14"/>
  <c r="D126" i="14" s="1"/>
  <c r="C114" i="14"/>
  <c r="C126" i="14" s="1"/>
  <c r="B114" i="14"/>
  <c r="B126" i="14" s="1"/>
  <c r="B28" i="14"/>
  <c r="B76" i="14" s="1"/>
  <c r="B77" i="14"/>
  <c r="B78" i="14"/>
  <c r="C76" i="14"/>
  <c r="C77" i="14"/>
  <c r="C78" i="14"/>
  <c r="C60" i="14"/>
  <c r="D60" i="14" s="1"/>
  <c r="E60" i="14" s="1"/>
  <c r="F60" i="14" s="1"/>
  <c r="G60" i="14" s="1"/>
  <c r="H60" i="14" s="1"/>
  <c r="I60" i="14" s="1"/>
  <c r="J60" i="14" s="1"/>
  <c r="K60" i="14" s="1"/>
  <c r="L60" i="14" s="1"/>
  <c r="M60" i="14" s="1"/>
  <c r="N60" i="14" s="1"/>
  <c r="O60" i="14" s="1"/>
  <c r="D76" i="14"/>
  <c r="D77" i="14"/>
  <c r="D78" i="14"/>
  <c r="E76" i="14"/>
  <c r="E77" i="14"/>
  <c r="E78" i="14"/>
  <c r="F76" i="14"/>
  <c r="F77" i="14"/>
  <c r="F78" i="14"/>
  <c r="G76" i="14"/>
  <c r="G77" i="14"/>
  <c r="G78" i="14"/>
  <c r="H76" i="14"/>
  <c r="H77" i="14"/>
  <c r="H78" i="14"/>
  <c r="I76" i="14"/>
  <c r="I77" i="14"/>
  <c r="I78" i="14"/>
  <c r="J76" i="14"/>
  <c r="J77" i="14"/>
  <c r="J78" i="14"/>
  <c r="K76" i="14"/>
  <c r="K77" i="14"/>
  <c r="K78" i="14"/>
  <c r="L76" i="14"/>
  <c r="L77" i="14"/>
  <c r="L78" i="14"/>
  <c r="M76" i="14"/>
  <c r="M77" i="14"/>
  <c r="M78" i="14"/>
  <c r="N76" i="14"/>
  <c r="N77" i="14"/>
  <c r="N78" i="14"/>
  <c r="B145" i="14" l="1"/>
  <c r="B156" i="14" s="1"/>
  <c r="B161" i="14" s="1"/>
  <c r="AP92" i="14"/>
  <c r="F74" i="14"/>
  <c r="R74" i="14"/>
  <c r="H74" i="14"/>
  <c r="G74" i="14"/>
  <c r="S74" i="14"/>
  <c r="I74" i="14"/>
  <c r="U74" i="14"/>
  <c r="J74" i="14"/>
  <c r="V74" i="14"/>
  <c r="K74" i="14"/>
  <c r="W74" i="14"/>
  <c r="L74" i="14"/>
  <c r="X74" i="14"/>
  <c r="Z74" i="14"/>
  <c r="M74" i="14"/>
  <c r="Y74" i="14"/>
  <c r="N74" i="14"/>
  <c r="E74" i="14"/>
  <c r="Q74" i="14"/>
  <c r="T74" i="14"/>
  <c r="C74" i="14"/>
  <c r="O74" i="14"/>
  <c r="AA74" i="14"/>
  <c r="D74" i="14"/>
  <c r="P74" i="14"/>
  <c r="B74" i="14"/>
  <c r="B120" i="14" s="1"/>
  <c r="P60" i="14"/>
  <c r="O127" i="14"/>
  <c r="L127" i="14"/>
  <c r="C127" i="14"/>
  <c r="D127" i="14"/>
  <c r="G127" i="14"/>
  <c r="I127" i="14"/>
  <c r="K127" i="14"/>
  <c r="J127" i="14"/>
  <c r="H127" i="14"/>
  <c r="M127" i="14"/>
  <c r="E127" i="14"/>
  <c r="F127" i="14"/>
  <c r="N127" i="14"/>
  <c r="B127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AP114" i="14" l="1"/>
  <c r="AP117" i="14" s="1"/>
  <c r="B121" i="14"/>
  <c r="D117" i="14"/>
  <c r="K120" i="14"/>
  <c r="K121" i="14" s="1"/>
  <c r="F117" i="14"/>
  <c r="H117" i="14"/>
  <c r="L117" i="14"/>
  <c r="M120" i="14"/>
  <c r="M121" i="14" s="1"/>
  <c r="B117" i="14"/>
  <c r="E120" i="14"/>
  <c r="E121" i="14" s="1"/>
  <c r="W117" i="14"/>
  <c r="W120" i="14"/>
  <c r="O117" i="14"/>
  <c r="O120" i="14"/>
  <c r="O121" i="14" s="1"/>
  <c r="V117" i="14"/>
  <c r="V120" i="14"/>
  <c r="Q117" i="14"/>
  <c r="Q120" i="14"/>
  <c r="U120" i="14"/>
  <c r="U117" i="14"/>
  <c r="AA117" i="14"/>
  <c r="AA120" i="14"/>
  <c r="S120" i="14"/>
  <c r="S117" i="14"/>
  <c r="T120" i="14"/>
  <c r="T117" i="14"/>
  <c r="Y120" i="14"/>
  <c r="Y117" i="14"/>
  <c r="G120" i="14"/>
  <c r="G121" i="14" s="1"/>
  <c r="Q60" i="14"/>
  <c r="P127" i="14"/>
  <c r="Z120" i="14"/>
  <c r="Z117" i="14"/>
  <c r="R120" i="14"/>
  <c r="R117" i="14"/>
  <c r="I120" i="14"/>
  <c r="I121" i="14" s="1"/>
  <c r="P120" i="14"/>
  <c r="P121" i="14" s="1"/>
  <c r="P117" i="14"/>
  <c r="X120" i="14"/>
  <c r="X117" i="14"/>
  <c r="J117" i="14"/>
  <c r="B141" i="14"/>
  <c r="N117" i="14"/>
  <c r="C117" i="14"/>
  <c r="K117" i="14"/>
  <c r="G117" i="14"/>
  <c r="F120" i="14"/>
  <c r="F121" i="14" s="1"/>
  <c r="E117" i="14"/>
  <c r="I117" i="14"/>
  <c r="M117" i="14"/>
  <c r="D120" i="14"/>
  <c r="D121" i="14" s="1"/>
  <c r="H120" i="14"/>
  <c r="H121" i="14" s="1"/>
  <c r="L120" i="14"/>
  <c r="L121" i="14" s="1"/>
  <c r="C120" i="14"/>
  <c r="C121" i="14" s="1"/>
  <c r="J120" i="14"/>
  <c r="J121" i="14" s="1"/>
  <c r="N120" i="14"/>
  <c r="N121" i="14" s="1"/>
  <c r="AP126" i="14" l="1"/>
  <c r="AP127" i="14"/>
  <c r="B128" i="14"/>
  <c r="B139" i="14"/>
  <c r="B122" i="14"/>
  <c r="R60" i="14"/>
  <c r="Q127" i="14"/>
  <c r="R121" i="14"/>
  <c r="Q121" i="14"/>
  <c r="S60" i="14" l="1"/>
  <c r="R127" i="14"/>
  <c r="T60" i="14" l="1"/>
  <c r="S127" i="14"/>
  <c r="S121" i="14"/>
  <c r="U60" i="14" l="1"/>
  <c r="T127" i="14"/>
  <c r="T121" i="14"/>
  <c r="V60" i="14" l="1"/>
  <c r="U127" i="14"/>
  <c r="U121" i="14"/>
  <c r="W60" i="14" l="1"/>
  <c r="V127" i="14"/>
  <c r="V121" i="14"/>
  <c r="X60" i="14" l="1"/>
  <c r="W127" i="14"/>
  <c r="W121" i="14"/>
  <c r="Y60" i="14" l="1"/>
  <c r="X127" i="14"/>
  <c r="X121" i="14"/>
  <c r="Z60" i="14" l="1"/>
  <c r="Y127" i="14"/>
  <c r="Y121" i="14"/>
  <c r="AA60" i="14" l="1"/>
  <c r="Z127" i="14"/>
  <c r="Z121" i="14"/>
  <c r="AA127" i="14" l="1"/>
  <c r="B129" i="14" s="1"/>
  <c r="AA121" i="14"/>
  <c r="B123" i="14" s="1"/>
  <c r="B146" i="14" l="1"/>
  <c r="I145" i="14"/>
  <c r="B162" i="14"/>
  <c r="B157" i="14"/>
  <c r="B137" i="14"/>
  <c r="B133" i="14"/>
  <c r="B134" i="14" s="1"/>
  <c r="B135" i="14" s="1"/>
</calcChain>
</file>

<file path=xl/sharedStrings.xml><?xml version="1.0" encoding="utf-8"?>
<sst xmlns="http://schemas.openxmlformats.org/spreadsheetml/2006/main" count="316" uniqueCount="274">
  <si>
    <t>product</t>
  </si>
  <si>
    <t>length</t>
  </si>
  <si>
    <t>variable</t>
  </si>
  <si>
    <t>small-end diameter (cm)</t>
  </si>
  <si>
    <t>(US$/m^3)</t>
  </si>
  <si>
    <t>Low</t>
  </si>
  <si>
    <t>High</t>
  </si>
  <si>
    <t xml:space="preserve">    Administration</t>
  </si>
  <si>
    <t xml:space="preserve">    Property Tax</t>
  </si>
  <si>
    <t xml:space="preserve">    Roads</t>
  </si>
  <si>
    <t xml:space="preserve">    Fire Control</t>
  </si>
  <si>
    <t xml:space="preserve">    Disease Control &amp; Prevention</t>
  </si>
  <si>
    <t xml:space="preserve">    c) Fertilizer</t>
  </si>
  <si>
    <t xml:space="preserve">    d) Mark and dig</t>
  </si>
  <si>
    <t xml:space="preserve">    e) Plant distribution</t>
  </si>
  <si>
    <t xml:space="preserve">     f) Planting</t>
  </si>
  <si>
    <t xml:space="preserve">    g) Replant</t>
  </si>
  <si>
    <t xml:space="preserve">    a) Ant control (per application)</t>
  </si>
  <si>
    <t xml:space="preserve">    a) Thin, Haul, Load (per m^3)</t>
  </si>
  <si>
    <t xml:space="preserve">    b) Clearcut, Haul, Load (per m^3)</t>
  </si>
  <si>
    <t xml:space="preserve">    c) Transportation (per m^3 per km)</t>
  </si>
  <si>
    <t>Year</t>
  </si>
  <si>
    <t>3.  Planting</t>
  </si>
  <si>
    <t>D. Growth and Yield</t>
  </si>
  <si>
    <t>1.  Site Preparation</t>
  </si>
  <si>
    <t>4.  Ant Control</t>
  </si>
  <si>
    <t>5.  Herbicide/Cleaning</t>
  </si>
  <si>
    <t>2.  Site Preparation</t>
  </si>
  <si>
    <t>1.  Management</t>
  </si>
  <si>
    <t xml:space="preserve">    a) Volume Harvest Non-Merchantable</t>
  </si>
  <si>
    <t xml:space="preserve">    b) Volume Harvest Category 1</t>
  </si>
  <si>
    <t xml:space="preserve">    c) Volume Harvest Category 2</t>
  </si>
  <si>
    <t xml:space="preserve">    d) Volume Harvest Category 3</t>
  </si>
  <si>
    <t xml:space="preserve">    e) Volume Harvest Category 4</t>
  </si>
  <si>
    <t xml:space="preserve">     f) Volume Harvest Category 5</t>
  </si>
  <si>
    <t>1. Category 1</t>
  </si>
  <si>
    <t>2. Category 2</t>
  </si>
  <si>
    <t>3. Category 3</t>
  </si>
  <si>
    <t>4. Category 4</t>
  </si>
  <si>
    <t>5. Category 5</t>
  </si>
  <si>
    <t>1. Yearly Costs</t>
  </si>
  <si>
    <t>2. Yearly Discounted Costs</t>
  </si>
  <si>
    <t>4. Total Discounted Cost</t>
  </si>
  <si>
    <t>1. Yearly Benefits</t>
  </si>
  <si>
    <t>2. Yearly Discounted Benefits</t>
  </si>
  <si>
    <t>Country:</t>
  </si>
  <si>
    <t>3. Total Cost</t>
  </si>
  <si>
    <t>3. Total Benefit</t>
  </si>
  <si>
    <t>4. Total Discounted Benefit</t>
  </si>
  <si>
    <t>Rotation Age (years):</t>
  </si>
  <si>
    <t>Date:</t>
  </si>
  <si>
    <t>K. Capital Budgeting Results</t>
  </si>
  <si>
    <t xml:space="preserve">   Good</t>
  </si>
  <si>
    <t xml:space="preserve">   Average</t>
  </si>
  <si>
    <t xml:space="preserve">   High</t>
  </si>
  <si>
    <t>2.  Planting</t>
  </si>
  <si>
    <t>E. Stumpage Prices - Madera en Pie</t>
  </si>
  <si>
    <t>6.  Prescribed Burning</t>
  </si>
  <si>
    <t>3.  Ant control (applications/yr)</t>
  </si>
  <si>
    <t>4.  Cleaning/herbicide (applications/yr)</t>
  </si>
  <si>
    <t>1. Planting / Maintenance Subsidy</t>
  </si>
  <si>
    <t>2. Tax Exemptions</t>
  </si>
  <si>
    <t>5. Land Sales</t>
  </si>
  <si>
    <t>Currency Conversion Rate</t>
  </si>
  <si>
    <t>pulp</t>
  </si>
  <si>
    <t>chip-n-saw</t>
  </si>
  <si>
    <t>small sawtimber</t>
  </si>
  <si>
    <t>veneer/large st</t>
  </si>
  <si>
    <t>biomass fuel</t>
  </si>
  <si>
    <t>Be sure to change to use final column cell in the formula for computing IRR</t>
  </si>
  <si>
    <t xml:space="preserve">   &lt;------</t>
  </si>
  <si>
    <t>&lt;------</t>
  </si>
  <si>
    <t>Other</t>
  </si>
  <si>
    <t xml:space="preserve">    d) Prescribed Burning</t>
  </si>
  <si>
    <t xml:space="preserve">    e) Low Pruning</t>
  </si>
  <si>
    <t xml:space="preserve">    f) Medium Pruning</t>
  </si>
  <si>
    <t xml:space="preserve">    g) High Pruning</t>
  </si>
  <si>
    <t>7.  Low Pruning</t>
  </si>
  <si>
    <t>8.  Medium Pruning</t>
  </si>
  <si>
    <t>9.  High Pruning</t>
  </si>
  <si>
    <t>10.  Management</t>
  </si>
  <si>
    <t>11. Land Purchase</t>
  </si>
  <si>
    <t>6.  Mid-Rotation Fertilizer</t>
  </si>
  <si>
    <t>7.  Prescribed Burning</t>
  </si>
  <si>
    <t>8.  Prune</t>
  </si>
  <si>
    <t>9.  Land Purchase</t>
  </si>
  <si>
    <t>Note: Not all periodic treatments are required, but some should be.  Use those needed.</t>
  </si>
  <si>
    <t>Net Present Value - NPV ($/ha)</t>
  </si>
  <si>
    <t>Establishment Cost, Yr. 0-5 ($/ha)</t>
  </si>
  <si>
    <t>Common nominal discount rate in country</t>
  </si>
  <si>
    <t>Timber Investment Analysis, Stumpage Price Basis  (Per Hectare)</t>
  </si>
  <si>
    <t>Land Expectation Value - LEV ($/ha)</t>
  </si>
  <si>
    <t>Equivalent Annual Income - EAI ($/ha)</t>
  </si>
  <si>
    <t>&lt;---------</t>
  </si>
  <si>
    <t>Use sum or change to total value for site preparation</t>
  </si>
  <si>
    <t>Use sum or change to total value for planting</t>
  </si>
  <si>
    <t>Internal Rate of Return - IRR (%)</t>
  </si>
  <si>
    <t>Benefit:Cost Ratio</t>
  </si>
  <si>
    <t>Region / State</t>
  </si>
  <si>
    <t xml:space="preserve">Contact - email: </t>
  </si>
  <si>
    <t>1. Site Preparation (total):</t>
  </si>
  <si>
    <t>2. Planting (total):</t>
  </si>
  <si>
    <t>3. Periodic Stand Treatments (as relevant)</t>
  </si>
  <si>
    <t>4. Harvest (optional)</t>
  </si>
  <si>
    <t>5. Management (total)</t>
  </si>
  <si>
    <t>F. Prices at Mill (optional)</t>
  </si>
  <si>
    <t>For general</t>
  </si>
  <si>
    <t xml:space="preserve">unless needed </t>
  </si>
  <si>
    <t>to derive stumpage costs</t>
  </si>
  <si>
    <t>from mill costs</t>
  </si>
  <si>
    <t>minus harvesting costs</t>
  </si>
  <si>
    <t xml:space="preserve"> &lt;-----For information only in base run; used in subsequent ones later</t>
  </si>
  <si>
    <t>Species:</t>
  </si>
  <si>
    <t xml:space="preserve"> &lt;----- For information only; not needed unless deriving stumpage prices from mill prices</t>
  </si>
  <si>
    <t>add more or subtract years as needed in this section for whole rotation</t>
  </si>
  <si>
    <t xml:space="preserve"> Based on Prices to Landowner for Standing Trees on the Stump - Madera en Pie - Unless Spreadshet is Modified</t>
  </si>
  <si>
    <t>information only,</t>
  </si>
  <si>
    <t>6. Timberland Price</t>
  </si>
  <si>
    <t>Desired entries are highlighted in yellow; others are optional; replace the examples with your correct data</t>
  </si>
  <si>
    <t xml:space="preserve">    c) Fertlizer - Mid-Rotation</t>
  </si>
  <si>
    <t>4. Harvest (Thinnings/Clearcut; Sections D*E)</t>
  </si>
  <si>
    <t>2. Total Volume (m^3) (Calculated)</t>
  </si>
  <si>
    <t xml:space="preserve">Note:  You may have to calculate IRR "by hand" by changing the discount rate in cell B15 until the NPV = 0; that discount rate then is the IRR </t>
  </si>
  <si>
    <t xml:space="preserve">     (Manually computed IRR cell in %)</t>
  </si>
  <si>
    <t>J. Benefits Summary ($/ha)</t>
  </si>
  <si>
    <t>I. Costs Summary ($/ha)</t>
  </si>
  <si>
    <t>G. Income ($/ha)</t>
  </si>
  <si>
    <t>A. Unit Prices per Activity ($/ha)</t>
  </si>
  <si>
    <t>C. Costs by Year ($/ha) (Section A * Section B)</t>
  </si>
  <si>
    <t>&lt;-----</t>
  </si>
  <si>
    <t>Total Wood Produced (m3/ha)</t>
  </si>
  <si>
    <t xml:space="preserve"> Note:  1.1 tonnes = m3, or 0.907 m3/tonne</t>
  </si>
  <si>
    <t>https://www.mainewoodlandowners.org/articles/carbon-in-wood-products-translated-to-plain-english</t>
  </si>
  <si>
    <t>Transformations / Source</t>
  </si>
  <si>
    <t>Accessed 29 May 2023</t>
  </si>
  <si>
    <t>Dry Weight per m3 (kg)</t>
  </si>
  <si>
    <t>Cost of Wood @8% Discount Rate ($/m3)</t>
  </si>
  <si>
    <t>Varies By Species and Specific Gravity - Each Reporter Needs to Find this Out!</t>
  </si>
  <si>
    <t>Jennifer Hicks.  Maine Forest Owner, 2020</t>
  </si>
  <si>
    <t>Note: This is approximately Specific Gravity * 1000</t>
  </si>
  <si>
    <t>e.g. .65 specific gravity for E. grandis * 1000 = 650</t>
  </si>
  <si>
    <t>Extra Wood in Tops &amp; Branches (%)</t>
  </si>
  <si>
    <t>OPTIONAL:</t>
  </si>
  <si>
    <t xml:space="preserve">  &lt;------</t>
  </si>
  <si>
    <t>4. Volume Clearcut (m^3/ha; Enter Manually Across Here &amp; Below by Category)</t>
  </si>
  <si>
    <t>3. Volume Thinned (m^3/ha; Enter Manually Across Here &amp; Below by Category)</t>
  </si>
  <si>
    <t>Real Discount Rate for Our Analysis</t>
  </si>
  <si>
    <t>B. Schedule (enter number of each activity per year)</t>
  </si>
  <si>
    <t>3. Other NonTimber Products / or Other Income</t>
  </si>
  <si>
    <t>H. Net Annual Cash Flow ($/ha) {Used For IRR}</t>
  </si>
  <si>
    <t>L. Wood Costs and Carbon CO2e Costs</t>
  </si>
  <si>
    <t xml:space="preserve"> &lt;-----</t>
  </si>
  <si>
    <t>Note: Total Wood Cost from Cell B122 ($/ha) =</t>
  </si>
  <si>
    <t>Note: Costs per Tonne CO2e for Only Merchantable Volume of Trees</t>
  </si>
  <si>
    <t>Note: Only here as a possible reference for above ground; enter % extra wood if known</t>
  </si>
  <si>
    <t>Note: Costs per Tonne CO2e for all above ground volume</t>
  </si>
  <si>
    <t>add more or subtract years (columns)  as needed in this section for whole rotation</t>
  </si>
  <si>
    <t>Be sure to change to use final column cell of the rotation in the formula for computing total costs</t>
  </si>
  <si>
    <t>Be sure to change to use final column cell of the rotation in the formula for computing total discounted costs</t>
  </si>
  <si>
    <t>Be sure to change to use final column cell of the rotation in the formula for computing total benefits</t>
  </si>
  <si>
    <t>Be sure to change to use final column cell of the rotation in the formula for computing total discounted benefits</t>
  </si>
  <si>
    <t>Carbon in Wood Products - Translated in Plain English</t>
  </si>
  <si>
    <t>A TIMBER TEMPLATE CASE - NEW STUFF ON WOOD AND CARBON COSTS</t>
  </si>
  <si>
    <t xml:space="preserve">     {=B122/B144}</t>
  </si>
  <si>
    <t>Bardon's Conversion Approach</t>
  </si>
  <si>
    <t xml:space="preserve"> US$/ton</t>
  </si>
  <si>
    <t>.036 tons per cu ft:</t>
  </si>
  <si>
    <t xml:space="preserve">  ft3/ton</t>
  </si>
  <si>
    <t>ft3/m3</t>
  </si>
  <si>
    <t>m3/ton</t>
  </si>
  <si>
    <t>ton/m3</t>
  </si>
  <si>
    <t xml:space="preserve">   &lt;-----</t>
  </si>
  <si>
    <t xml:space="preserve">  NCSU Extension Standing Timber Price Report</t>
  </si>
  <si>
    <t xml:space="preserve">https://forestry.ces.ncsu.edu/forestry-price-data/ </t>
  </si>
  <si>
    <t>Range (US$ per Ac)</t>
  </si>
  <si>
    <t>5.  Mid-Rotation Fertilizer {not used this scenario}</t>
  </si>
  <si>
    <t>Benchmarks</t>
  </si>
  <si>
    <t>Auburn</t>
  </si>
  <si>
    <t>US $/Ac</t>
  </si>
  <si>
    <t>Avg 2020</t>
  </si>
  <si>
    <t>US$/Ha</t>
  </si>
  <si>
    <t xml:space="preserve">    b) Chemical release - herbaceous</t>
  </si>
  <si>
    <t>Auburn:</t>
  </si>
  <si>
    <t>https://www.aces.edu/blog/topics/forestry/costs-trends-of-southern-forestry-practices-2020/</t>
  </si>
  <si>
    <t>NC FS Management Data Source:  NC FS FDP FY 2023-2024 D4 &amp; D8 - New Bern and Whiteville NC</t>
  </si>
  <si>
    <t>https://www.ncforestservice.gov/Managing_your_forest/pdf/FDP_PrevailingRatesFY23-24.pdf</t>
  </si>
  <si>
    <t>Source: Miles and Smith 2009, Table 1a, p. 9</t>
  </si>
  <si>
    <t xml:space="preserve">   .47 specific gravity for P. taeda</t>
  </si>
  <si>
    <t>Green Weight</t>
  </si>
  <si>
    <t xml:space="preserve">These </t>
  </si>
  <si>
    <t xml:space="preserve">Seem </t>
  </si>
  <si>
    <t>Way High</t>
  </si>
  <si>
    <t xml:space="preserve">e.g. $150/ac * 2.5 = </t>
  </si>
  <si>
    <t>per ha</t>
  </si>
  <si>
    <t xml:space="preserve">   is more than annual timber growth is worth by itself</t>
  </si>
  <si>
    <t xml:space="preserve">    a) V-Blade &amp; Chop</t>
  </si>
  <si>
    <t xml:space="preserve">    b)  Burn</t>
  </si>
  <si>
    <t xml:space="preserve">    d) Bedding, Single</t>
  </si>
  <si>
    <t xml:space="preserve">    e) Chemical Control</t>
  </si>
  <si>
    <t xml:space="preserve">   Not sure if needed - expensive - maybe big companies</t>
  </si>
  <si>
    <t>All Pine</t>
  </si>
  <si>
    <t>Shortleaf Avg.</t>
  </si>
  <si>
    <t>1077 TPH</t>
  </si>
  <si>
    <t xml:space="preserve">    a) Container Seedlings</t>
  </si>
  <si>
    <t>Clabo/Van..</t>
  </si>
  <si>
    <t xml:space="preserve">    c) Rip / Subsoil</t>
  </si>
  <si>
    <t xml:space="preserve">  .09/seedling</t>
  </si>
  <si>
    <t xml:space="preserve">    b) Herbicide/Mid-Rotation Release (first year)</t>
  </si>
  <si>
    <t xml:space="preserve">  </t>
  </si>
  <si>
    <t>1. Growth (m^3/ha/yr)   {e.g., MAI}</t>
  </si>
  <si>
    <t>Practices and costs from Clabo &amp; VanderSchaaf, pending</t>
  </si>
  <si>
    <t>add more or subtract MAI or CAI years as needed in this section for whole rotation</t>
  </si>
  <si>
    <t>{MAI = mean annual incement; CAI = current annual increment}</t>
  </si>
  <si>
    <t xml:space="preserve">  Note: 1 m3 about = 1.26 tons</t>
  </si>
  <si>
    <t>{Note:  You also can enter CAI in this row and change the formula below for summing growth, or enter cumulative CAI (Total Yield by Age) in the cells below, from a Growth and Yield Function}</t>
  </si>
  <si>
    <t xml:space="preserve"> Adapted from: Global Timber - Wood - Carbon Template 2023</t>
  </si>
  <si>
    <t>fredcubbage@yahoo.com</t>
  </si>
  <si>
    <t xml:space="preserve"> Clearcut</t>
  </si>
  <si>
    <t xml:space="preserve">Adapted from a previous spreadsheet template developed by Fred Cubbage and Greg Frey </t>
  </si>
  <si>
    <t>Establishing and Maintaining Shortleaf Pine Plantations</t>
  </si>
  <si>
    <t xml:space="preserve">  North Carolina 4th Quarter 2024</t>
  </si>
  <si>
    <t>Global</t>
  </si>
  <si>
    <t xml:space="preserve">Timber </t>
  </si>
  <si>
    <t>Estimates</t>
  </si>
  <si>
    <t xml:space="preserve">  --&gt;</t>
  </si>
  <si>
    <t xml:space="preserve"> So are not reaonable</t>
  </si>
  <si>
    <t>&lt;--Auburn:</t>
  </si>
  <si>
    <t>Q4 2024</t>
  </si>
  <si>
    <t>NC TMS</t>
  </si>
  <si>
    <t>US$/Ton</t>
  </si>
  <si>
    <t>Clabo &amp;</t>
  </si>
  <si>
    <t>Vander…</t>
  </si>
  <si>
    <t>medium sawtimber</t>
  </si>
  <si>
    <t>Used:</t>
  </si>
  <si>
    <t xml:space="preserve">  Note: distribute the clearcut harvest among product classes manually</t>
  </si>
  <si>
    <t>&lt;-- Less than</t>
  </si>
  <si>
    <t>Comment: we will use 4% real as the discount rate, but you can enter your preferred discount rate</t>
  </si>
  <si>
    <t xml:space="preserve">  US$/Ha</t>
  </si>
  <si>
    <t>NC FDP/Ac, 2023</t>
  </si>
  <si>
    <t>Used, 2024</t>
  </si>
  <si>
    <t>432.42 per 1000</t>
  </si>
  <si>
    <t>note: 2.47 ac= 1 ha</t>
  </si>
  <si>
    <t>MAI Growth - m3/ha/yr</t>
  </si>
  <si>
    <t>Pinus echinata - Shortleaf Pine</t>
  </si>
  <si>
    <t>CNS</t>
  </si>
  <si>
    <t>Saw</t>
  </si>
  <si>
    <t>% Products</t>
  </si>
  <si>
    <t xml:space="preserve">   51% CNS</t>
  </si>
  <si>
    <t>Roise Prods</t>
  </si>
  <si>
    <t>Per Roise</t>
  </si>
  <si>
    <t xml:space="preserve">{enter thinning volume of 73 m3 above manually per Roise G&amp;Y; about 1/3 total volume} </t>
  </si>
  <si>
    <t>High Site Index = 18.3 m@25 yrs;               1077 Trees per Ha;                                              40 Year Rotation, 1 Thinning at Age 17</t>
  </si>
  <si>
    <t>SI = 18.3 m @ 25 yr</t>
  </si>
  <si>
    <t xml:space="preserve">   22% pulp</t>
  </si>
  <si>
    <t xml:space="preserve">   27% sawtimber</t>
  </si>
  <si>
    <t>Product % per Roise at age 35</t>
  </si>
  <si>
    <t>Shortleaf Avg. 10.86 m3/ha/yr MAI 1077 TPH - 40 yr</t>
  </si>
  <si>
    <t>Blue Cell based on FIA South Wide Averages, at 90% level</t>
  </si>
  <si>
    <t>All Pine Growth Rates Computed from Ray Sheffield FIA Run, 2020</t>
  </si>
  <si>
    <t xml:space="preserve">   Doser - </t>
  </si>
  <si>
    <t>Shortleaf Pine Financial Analysis, 2024 Data, Updated Example for Global Timber Paper</t>
  </si>
  <si>
    <t>Metric tonnes CO2 per m3  {B152/1000}</t>
  </si>
  <si>
    <t>Carbon Weight per kg {B148*0.5}</t>
  </si>
  <si>
    <t>Kg CO2 per kg Carbon {3.67*B150}</t>
  </si>
  <si>
    <t>Tonnes "Merchantable" CO2e per ha (B145*B154)</t>
  </si>
  <si>
    <t>Cost of Tonne of CO2e ($/tonne)  {B123/B156}</t>
  </si>
  <si>
    <t>All Above Ground CO2 per Ha {B155*(1+B160)}</t>
  </si>
  <si>
    <t>Above Ground Cost CO2e ($/tonne)  {B123/B161}</t>
  </si>
  <si>
    <t>File: Shortleaf Example V5</t>
  </si>
  <si>
    <t xml:space="preserve">  14 January 2026</t>
  </si>
  <si>
    <t>V5</t>
  </si>
  <si>
    <t>U.S. South</t>
  </si>
  <si>
    <t xml:space="preserve">     14 January 2026</t>
  </si>
  <si>
    <t>U.S. South - Pinus echinata High FIA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</si>
</sst>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000_);[Red]\(#,##0.00000\)"/>
    <numFmt numFmtId="165" formatCode="0.0"/>
    <numFmt numFmtId="166" formatCode="0.0000"/>
  </numFmts>
  <fonts count="2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u/>
      <sz val="10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44" fontId="17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quotePrefix="1" applyFont="1"/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7" xfId="0" applyBorder="1"/>
    <xf numFmtId="4" fontId="4" fillId="0" borderId="20" xfId="0" applyNumberFormat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left"/>
    </xf>
    <xf numFmtId="3" fontId="3" fillId="0" borderId="1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0" fillId="2" borderId="2" xfId="0" applyNumberFormat="1" applyFill="1" applyBorder="1" applyAlignment="1">
      <alignment horizontal="center"/>
    </xf>
    <xf numFmtId="4" fontId="8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9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center"/>
    </xf>
    <xf numFmtId="0" fontId="8" fillId="0" borderId="15" xfId="0" applyFont="1" applyBorder="1"/>
    <xf numFmtId="1" fontId="4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3" fillId="4" borderId="0" xfId="0" applyFont="1" applyFill="1"/>
    <xf numFmtId="0" fontId="6" fillId="0" borderId="21" xfId="0" applyFont="1" applyBorder="1"/>
    <xf numFmtId="0" fontId="0" fillId="2" borderId="0" xfId="0" applyFill="1"/>
    <xf numFmtId="0" fontId="1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15" fontId="1" fillId="2" borderId="12" xfId="0" applyNumberFormat="1" applyFont="1" applyFill="1" applyBorder="1" applyAlignment="1">
      <alignment horizontal="left"/>
    </xf>
    <xf numFmtId="0" fontId="1" fillId="0" borderId="0" xfId="0" applyFont="1"/>
    <xf numFmtId="0" fontId="13" fillId="3" borderId="0" xfId="2" applyFont="1" applyAlignment="1">
      <alignment horizontal="center"/>
    </xf>
    <xf numFmtId="0" fontId="14" fillId="3" borderId="0" xfId="2" applyFont="1" applyAlignment="1">
      <alignment horizontal="left"/>
    </xf>
    <xf numFmtId="0" fontId="15" fillId="3" borderId="0" xfId="2" applyFont="1" applyAlignment="1">
      <alignment horizontal="center"/>
    </xf>
    <xf numFmtId="0" fontId="1" fillId="0" borderId="0" xfId="0" applyFont="1" applyAlignment="1">
      <alignment horizontal="right"/>
    </xf>
    <xf numFmtId="0" fontId="8" fillId="5" borderId="0" xfId="0" applyFont="1" applyFill="1" applyAlignment="1">
      <alignment horizontal="left"/>
    </xf>
    <xf numFmtId="0" fontId="1" fillId="5" borderId="0" xfId="0" applyFont="1" applyFill="1" applyAlignment="1">
      <alignment horizontal="right"/>
    </xf>
    <xf numFmtId="0" fontId="1" fillId="2" borderId="0" xfId="0" applyFont="1" applyFill="1"/>
    <xf numFmtId="0" fontId="0" fillId="6" borderId="0" xfId="0" applyFill="1" applyAlignment="1">
      <alignment horizontal="center"/>
    </xf>
    <xf numFmtId="0" fontId="11" fillId="0" borderId="0" xfId="2" applyFont="1" applyFill="1" applyBorder="1"/>
    <xf numFmtId="0" fontId="10" fillId="0" borderId="0" xfId="2" applyFont="1" applyFill="1" applyBorder="1" applyAlignment="1">
      <alignment horizontal="left"/>
    </xf>
    <xf numFmtId="0" fontId="11" fillId="0" borderId="0" xfId="2" applyFont="1" applyFill="1" applyBorder="1" applyAlignment="1">
      <alignment horizontal="center"/>
    </xf>
    <xf numFmtId="0" fontId="9" fillId="0" borderId="0" xfId="2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center"/>
    </xf>
    <xf numFmtId="0" fontId="10" fillId="0" borderId="0" xfId="2" applyFont="1" applyFill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0" borderId="5" xfId="0" applyFont="1" applyBorder="1"/>
    <xf numFmtId="4" fontId="0" fillId="0" borderId="1" xfId="0" applyNumberFormat="1" applyBorder="1" applyAlignment="1">
      <alignment horizontal="right"/>
    </xf>
    <xf numFmtId="0" fontId="3" fillId="0" borderId="6" xfId="0" applyFont="1" applyBorder="1"/>
    <xf numFmtId="4" fontId="0" fillId="0" borderId="2" xfId="0" applyNumberFormat="1" applyBorder="1" applyAlignment="1">
      <alignment horizontal="right"/>
    </xf>
    <xf numFmtId="0" fontId="1" fillId="2" borderId="0" xfId="0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1" fillId="0" borderId="6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6" xfId="0" applyBorder="1"/>
    <xf numFmtId="0" fontId="0" fillId="0" borderId="2" xfId="0" applyBorder="1" applyAlignment="1">
      <alignment horizontal="center"/>
    </xf>
    <xf numFmtId="0" fontId="1" fillId="2" borderId="24" xfId="0" applyFont="1" applyFill="1" applyBorder="1" applyAlignment="1">
      <alignment horizontal="left"/>
    </xf>
    <xf numFmtId="0" fontId="12" fillId="6" borderId="5" xfId="2" applyFont="1" applyFill="1" applyBorder="1" applyAlignment="1">
      <alignment wrapText="1"/>
    </xf>
    <xf numFmtId="0" fontId="12" fillId="6" borderId="8" xfId="2" applyFont="1" applyFill="1" applyBorder="1" applyAlignment="1">
      <alignment wrapText="1"/>
    </xf>
    <xf numFmtId="0" fontId="12" fillId="6" borderId="7" xfId="2" applyFont="1" applyFill="1" applyBorder="1" applyAlignment="1">
      <alignment wrapText="1"/>
    </xf>
    <xf numFmtId="0" fontId="12" fillId="6" borderId="3" xfId="2" applyFont="1" applyFill="1" applyBorder="1" applyAlignment="1">
      <alignment wrapText="1"/>
    </xf>
    <xf numFmtId="0" fontId="0" fillId="0" borderId="5" xfId="0" applyBorder="1" applyAlignment="1">
      <alignment horizontal="right"/>
    </xf>
    <xf numFmtId="0" fontId="1" fillId="0" borderId="7" xfId="0" applyFont="1" applyBorder="1" applyAlignment="1">
      <alignment horizontal="left"/>
    </xf>
    <xf numFmtId="4" fontId="0" fillId="2" borderId="23" xfId="0" applyNumberFormat="1" applyFill="1" applyBorder="1" applyAlignment="1">
      <alignment horizontal="right"/>
    </xf>
    <xf numFmtId="0" fontId="18" fillId="6" borderId="8" xfId="2" applyFont="1" applyFill="1" applyBorder="1" applyAlignment="1">
      <alignment wrapText="1"/>
    </xf>
    <xf numFmtId="4" fontId="0" fillId="2" borderId="2" xfId="0" applyNumberFormat="1" applyFill="1" applyBorder="1" applyAlignment="1">
      <alignment horizontal="right"/>
    </xf>
    <xf numFmtId="164" fontId="4" fillId="2" borderId="0" xfId="0" applyNumberFormat="1" applyFont="1" applyFill="1" applyAlignment="1">
      <alignment horizontal="center"/>
    </xf>
    <xf numFmtId="0" fontId="6" fillId="6" borderId="0" xfId="0" applyFont="1" applyFill="1"/>
    <xf numFmtId="0" fontId="16" fillId="6" borderId="0" xfId="0" applyFont="1" applyFill="1" applyAlignment="1">
      <alignment horizontal="center"/>
    </xf>
    <xf numFmtId="0" fontId="7" fillId="6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quotePrefix="1" applyFont="1" applyFill="1"/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  <xf numFmtId="0" fontId="6" fillId="0" borderId="6" xfId="0" applyFont="1" applyBorder="1"/>
    <xf numFmtId="0" fontId="3" fillId="0" borderId="7" xfId="0" applyFont="1" applyBorder="1"/>
    <xf numFmtId="4" fontId="0" fillId="0" borderId="4" xfId="0" applyNumberFormat="1" applyBorder="1" applyAlignment="1">
      <alignment horizontal="right"/>
    </xf>
    <xf numFmtId="0" fontId="8" fillId="6" borderId="0" xfId="0" applyFont="1" applyFill="1" applyAlignment="1">
      <alignment horizontal="right"/>
    </xf>
    <xf numFmtId="0" fontId="8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6" fillId="6" borderId="6" xfId="0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right"/>
    </xf>
    <xf numFmtId="0" fontId="6" fillId="6" borderId="0" xfId="0" applyFont="1" applyFill="1" applyAlignment="1">
      <alignment horizontal="right"/>
    </xf>
    <xf numFmtId="0" fontId="6" fillId="6" borderId="15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2" fontId="0" fillId="0" borderId="4" xfId="0" applyNumberFormat="1" applyBorder="1" applyAlignment="1">
      <alignment horizontal="right"/>
    </xf>
    <xf numFmtId="0" fontId="6" fillId="2" borderId="26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4" fontId="6" fillId="6" borderId="0" xfId="3" applyFont="1" applyFill="1" applyAlignment="1">
      <alignment horizontal="right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right"/>
    </xf>
    <xf numFmtId="0" fontId="3" fillId="6" borderId="25" xfId="0" applyFont="1" applyFill="1" applyBorder="1" applyAlignment="1">
      <alignment horizontal="right"/>
    </xf>
    <xf numFmtId="10" fontId="0" fillId="2" borderId="2" xfId="0" applyNumberFormat="1" applyFill="1" applyBorder="1" applyAlignment="1">
      <alignment horizontal="right"/>
    </xf>
    <xf numFmtId="0" fontId="3" fillId="6" borderId="0" xfId="0" applyFont="1" applyFill="1" applyAlignment="1">
      <alignment horizontal="center"/>
    </xf>
    <xf numFmtId="0" fontId="21" fillId="6" borderId="0" xfId="0" applyFont="1" applyFill="1" applyAlignment="1">
      <alignment horizontal="right"/>
    </xf>
    <xf numFmtId="0" fontId="22" fillId="6" borderId="0" xfId="0" applyFont="1" applyFill="1" applyAlignment="1">
      <alignment horizontal="right"/>
    </xf>
    <xf numFmtId="0" fontId="21" fillId="6" borderId="0" xfId="0" applyFont="1" applyFill="1" applyAlignment="1">
      <alignment horizontal="left"/>
    </xf>
    <xf numFmtId="0" fontId="6" fillId="2" borderId="6" xfId="0" applyFont="1" applyFill="1" applyBorder="1"/>
    <xf numFmtId="0" fontId="3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0" xfId="1" applyAlignment="1" applyProtection="1">
      <alignment horizontal="left"/>
    </xf>
    <xf numFmtId="3" fontId="1" fillId="0" borderId="0" xfId="0" applyNumberFormat="1" applyFont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2" fillId="2" borderId="17" xfId="1" applyFill="1" applyBorder="1" applyAlignment="1" applyProtection="1">
      <alignment horizontal="left"/>
    </xf>
    <xf numFmtId="0" fontId="3" fillId="2" borderId="0" xfId="0" applyFont="1" applyFill="1" applyAlignment="1">
      <alignment horizontal="left"/>
    </xf>
    <xf numFmtId="0" fontId="1" fillId="0" borderId="1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9" fillId="0" borderId="0" xfId="2" applyFont="1" applyFill="1" applyBorder="1"/>
    <xf numFmtId="0" fontId="19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wrapText="1"/>
    </xf>
    <xf numFmtId="0" fontId="10" fillId="0" borderId="0" xfId="2" applyFont="1" applyFill="1" applyBorder="1" applyAlignment="1">
      <alignment wrapText="1"/>
    </xf>
    <xf numFmtId="4" fontId="0" fillId="6" borderId="1" xfId="0" applyNumberFormat="1" applyFill="1" applyBorder="1" applyAlignment="1">
      <alignment horizontal="right"/>
    </xf>
    <xf numFmtId="2" fontId="4" fillId="6" borderId="0" xfId="0" applyNumberFormat="1" applyFont="1" applyFill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3" fillId="6" borderId="0" xfId="0" applyFont="1" applyFill="1"/>
    <xf numFmtId="0" fontId="15" fillId="6" borderId="0" xfId="2" applyFont="1" applyFill="1"/>
    <xf numFmtId="0" fontId="20" fillId="0" borderId="0" xfId="2" applyFont="1" applyFill="1"/>
    <xf numFmtId="2" fontId="1" fillId="2" borderId="27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2" fontId="0" fillId="0" borderId="0" xfId="0" applyNumberFormat="1"/>
    <xf numFmtId="0" fontId="3" fillId="6" borderId="23" xfId="0" applyFont="1" applyFill="1" applyBorder="1" applyAlignment="1">
      <alignment horizontal="center"/>
    </xf>
    <xf numFmtId="9" fontId="1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0" fillId="0" borderId="0" xfId="2" applyFont="1" applyFill="1" applyBorder="1" applyAlignment="1">
      <alignment horizontal="left" wrapText="1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6" borderId="0" xfId="2" applyFont="1" applyFill="1" applyBorder="1" applyAlignment="1">
      <alignment horizontal="center" wrapText="1"/>
    </xf>
    <xf numFmtId="0" fontId="18" fillId="6" borderId="0" xfId="2" applyFont="1" applyFill="1" applyAlignment="1">
      <alignment horizontal="center" wrapText="1"/>
    </xf>
    <xf numFmtId="0" fontId="18" fillId="6" borderId="2" xfId="2" applyFont="1" applyFill="1" applyBorder="1" applyAlignment="1">
      <alignment horizontal="center" wrapText="1"/>
    </xf>
    <xf numFmtId="0" fontId="18" fillId="6" borderId="17" xfId="2" applyFont="1" applyFill="1" applyBorder="1" applyAlignment="1">
      <alignment horizontal="center" wrapText="1"/>
    </xf>
    <xf numFmtId="0" fontId="18" fillId="6" borderId="27" xfId="2" applyFont="1" applyFill="1" applyBorder="1" applyAlignment="1">
      <alignment horizontal="center" wrapText="1"/>
    </xf>
    <xf numFmtId="0" fontId="24" fillId="6" borderId="0" xfId="2" applyFont="1" applyFill="1" applyBorder="1" applyAlignment="1">
      <alignment horizontal="center" wrapText="1"/>
    </xf>
    <xf numFmtId="0" fontId="24" fillId="6" borderId="17" xfId="2" applyFont="1" applyFill="1" applyBorder="1" applyAlignment="1">
      <alignment horizontal="center" wrapText="1"/>
    </xf>
  </cellXfs>
  <cellStyles count="4">
    <cellStyle name="Currency" xfId="3" builtinId="4"/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edcubbage@yahoo.com" TargetMode="External"/><Relationship Id="rId1" Type="http://schemas.openxmlformats.org/officeDocument/2006/relationships/hyperlink" Target="https://forestry.ces.ncsu.edu/forestry-price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6"/>
  <sheetViews>
    <sheetView tabSelected="1" zoomScaleNormal="100" workbookViewId="0">
      <selection activeCell="E9" sqref="E9"/>
    </sheetView>
  </sheetViews>
  <sheetFormatPr defaultRowHeight="13.2" x14ac:dyDescent="0.25"/>
  <cols>
    <col min="1" max="1" width="46.33203125" customWidth="1"/>
    <col min="2" max="2" width="11.77734375" style="5" customWidth="1"/>
    <col min="3" max="4" width="9.109375" style="5" customWidth="1"/>
    <col min="5" max="5" width="10.44140625" style="5" customWidth="1"/>
    <col min="6" max="6" width="10.21875" style="5" customWidth="1"/>
    <col min="7" max="8" width="9.109375" style="5" customWidth="1"/>
    <col min="9" max="9" width="10.44140625" style="5" customWidth="1"/>
    <col min="10" max="14" width="9.109375" style="5" customWidth="1"/>
    <col min="15" max="15" width="9.88671875" style="5" customWidth="1"/>
  </cols>
  <sheetData>
    <row r="1" spans="1:17" ht="48" customHeight="1" x14ac:dyDescent="0.4">
      <c r="A1" s="211" t="s">
        <v>260</v>
      </c>
      <c r="B1" s="211"/>
      <c r="C1" s="211"/>
      <c r="D1" s="212"/>
      <c r="E1" s="113"/>
      <c r="F1" s="210" t="s">
        <v>251</v>
      </c>
      <c r="G1" s="210"/>
      <c r="H1" s="210"/>
      <c r="I1" s="210"/>
      <c r="J1" s="210"/>
      <c r="K1" s="114"/>
      <c r="L1" s="120" t="s">
        <v>270</v>
      </c>
      <c r="M1" s="215" t="s">
        <v>273</v>
      </c>
      <c r="N1" s="215"/>
      <c r="O1" s="215"/>
      <c r="P1" s="215"/>
    </row>
    <row r="2" spans="1:17" ht="13.05" customHeight="1" thickBot="1" x14ac:dyDescent="0.35">
      <c r="A2" s="213"/>
      <c r="B2" s="213"/>
      <c r="C2" s="213"/>
      <c r="D2" s="214"/>
      <c r="E2" s="115"/>
      <c r="F2" s="210"/>
      <c r="G2" s="210"/>
      <c r="H2" s="210"/>
      <c r="I2" s="210"/>
      <c r="J2" s="210"/>
      <c r="K2" s="116"/>
      <c r="L2" s="116"/>
      <c r="M2" s="216"/>
      <c r="N2" s="216"/>
      <c r="O2" s="216"/>
      <c r="P2" s="216"/>
      <c r="Q2" s="35"/>
    </row>
    <row r="3" spans="1:17" x14ac:dyDescent="0.25">
      <c r="A3" s="53" t="s">
        <v>118</v>
      </c>
      <c r="B3" s="55"/>
      <c r="C3" s="56"/>
      <c r="D3" s="54"/>
      <c r="E3" s="69"/>
      <c r="F3" s="62"/>
      <c r="G3" s="70"/>
    </row>
    <row r="4" spans="1:17" x14ac:dyDescent="0.25">
      <c r="A4" s="1"/>
      <c r="B4" s="16"/>
      <c r="C4" s="7"/>
      <c r="F4" s="14"/>
    </row>
    <row r="5" spans="1:17" ht="14.4" x14ac:dyDescent="0.3">
      <c r="A5" s="125" t="s">
        <v>90</v>
      </c>
      <c r="B5" s="80"/>
      <c r="C5" s="126"/>
      <c r="E5" s="74" t="s">
        <v>115</v>
      </c>
      <c r="F5" s="75"/>
      <c r="G5" s="75"/>
      <c r="H5" s="75"/>
      <c r="I5" s="75"/>
      <c r="J5" s="75"/>
      <c r="K5" s="75"/>
      <c r="L5" s="75"/>
      <c r="M5" s="73"/>
      <c r="N5" s="73"/>
    </row>
    <row r="6" spans="1:17" x14ac:dyDescent="0.25">
      <c r="A6" s="1"/>
      <c r="B6" s="24"/>
      <c r="E6"/>
      <c r="F6"/>
      <c r="G6"/>
      <c r="H6"/>
      <c r="I6"/>
      <c r="J6"/>
      <c r="K6"/>
      <c r="L6"/>
      <c r="M6"/>
      <c r="N6"/>
      <c r="O6"/>
    </row>
    <row r="7" spans="1:17" x14ac:dyDescent="0.25">
      <c r="A7" s="65" t="s">
        <v>112</v>
      </c>
      <c r="B7" s="162" t="s">
        <v>243</v>
      </c>
      <c r="C7" s="54"/>
      <c r="D7" s="54"/>
      <c r="E7"/>
      <c r="F7"/>
      <c r="G7"/>
      <c r="H7"/>
      <c r="I7"/>
      <c r="J7"/>
      <c r="K7"/>
      <c r="L7"/>
      <c r="M7"/>
      <c r="N7"/>
      <c r="O7"/>
    </row>
    <row r="8" spans="1:17" x14ac:dyDescent="0.25">
      <c r="E8"/>
      <c r="F8"/>
      <c r="G8"/>
      <c r="H8"/>
      <c r="I8"/>
      <c r="J8"/>
      <c r="K8"/>
      <c r="L8"/>
      <c r="M8"/>
      <c r="N8"/>
      <c r="O8"/>
    </row>
    <row r="9" spans="1:17" x14ac:dyDescent="0.25">
      <c r="A9" s="25" t="s">
        <v>49</v>
      </c>
      <c r="B9" s="42">
        <v>40</v>
      </c>
      <c r="E9" s="22" t="s">
        <v>242</v>
      </c>
      <c r="F9"/>
      <c r="G9" s="6" t="s">
        <v>200</v>
      </c>
      <c r="H9" s="177" t="s">
        <v>258</v>
      </c>
      <c r="I9" s="50"/>
      <c r="J9" s="50"/>
      <c r="K9" s="50"/>
      <c r="L9" s="50"/>
      <c r="M9" s="50"/>
    </row>
    <row r="10" spans="1:17" ht="13.8" thickBot="1" x14ac:dyDescent="0.3">
      <c r="A10" t="s">
        <v>45</v>
      </c>
      <c r="B10" s="67" t="s">
        <v>201</v>
      </c>
      <c r="C10" s="179" t="s">
        <v>202</v>
      </c>
      <c r="E10" t="s">
        <v>54</v>
      </c>
      <c r="G10" s="72">
        <v>14.2</v>
      </c>
      <c r="H10" s="6"/>
      <c r="I10" s="6"/>
      <c r="J10" s="6"/>
      <c r="K10" s="6"/>
      <c r="L10" s="6"/>
      <c r="M10" s="6"/>
    </row>
    <row r="11" spans="1:17" ht="13.8" thickBot="1" x14ac:dyDescent="0.3">
      <c r="A11" s="4" t="s">
        <v>98</v>
      </c>
      <c r="B11" s="161" t="s">
        <v>271</v>
      </c>
      <c r="C11" s="95" t="s">
        <v>252</v>
      </c>
      <c r="D11" s="50"/>
      <c r="E11" t="s">
        <v>52</v>
      </c>
      <c r="F11" s="200">
        <v>10.86</v>
      </c>
      <c r="G11" s="72">
        <v>13.2</v>
      </c>
      <c r="H11" s="183" t="s">
        <v>259</v>
      </c>
      <c r="I11" s="177" t="s">
        <v>257</v>
      </c>
      <c r="J11" s="183"/>
      <c r="K11" s="183"/>
      <c r="L11" s="183"/>
      <c r="M11" s="183"/>
      <c r="N11" s="50"/>
    </row>
    <row r="12" spans="1:17" x14ac:dyDescent="0.25">
      <c r="A12" t="s">
        <v>50</v>
      </c>
      <c r="B12" s="71" t="s">
        <v>272</v>
      </c>
      <c r="C12" s="68"/>
      <c r="E12" t="s">
        <v>53</v>
      </c>
      <c r="G12" s="72">
        <v>11.3</v>
      </c>
    </row>
    <row r="13" spans="1:17" x14ac:dyDescent="0.25">
      <c r="E13" s="5" t="s">
        <v>72</v>
      </c>
      <c r="F13"/>
      <c r="G13"/>
    </row>
    <row r="14" spans="1:17" x14ac:dyDescent="0.25">
      <c r="F14"/>
      <c r="G14"/>
      <c r="H14" s="7"/>
      <c r="J14" s="32"/>
      <c r="K14" s="15"/>
    </row>
    <row r="15" spans="1:17" x14ac:dyDescent="0.25">
      <c r="A15" s="22" t="s">
        <v>146</v>
      </c>
      <c r="B15" s="42">
        <v>0.04</v>
      </c>
    </row>
    <row r="16" spans="1:17" x14ac:dyDescent="0.25">
      <c r="A16" s="4" t="s">
        <v>89</v>
      </c>
      <c r="B16" s="7">
        <v>0.06</v>
      </c>
      <c r="C16" s="32" t="s">
        <v>71</v>
      </c>
      <c r="D16" s="97" t="s">
        <v>236</v>
      </c>
    </row>
    <row r="17" spans="1:21" x14ac:dyDescent="0.25">
      <c r="A17" s="22"/>
      <c r="B17" s="6"/>
    </row>
    <row r="18" spans="1:21" x14ac:dyDescent="0.25">
      <c r="A18" s="1" t="s">
        <v>63</v>
      </c>
      <c r="B18" s="122"/>
      <c r="C18" s="207" t="s">
        <v>176</v>
      </c>
      <c r="D18" s="207"/>
      <c r="E18" s="207"/>
      <c r="F18" s="207"/>
    </row>
    <row r="19" spans="1:21" x14ac:dyDescent="0.25">
      <c r="A19" s="1"/>
      <c r="C19" s="206" t="s">
        <v>238</v>
      </c>
      <c r="D19" s="206"/>
      <c r="E19" s="178" t="s">
        <v>204</v>
      </c>
      <c r="F19" s="178" t="s">
        <v>177</v>
      </c>
      <c r="H19" s="179" t="s">
        <v>182</v>
      </c>
      <c r="I19" s="68" t="s">
        <v>183</v>
      </c>
      <c r="J19" s="50"/>
      <c r="K19" s="50"/>
      <c r="L19" s="50"/>
      <c r="M19" s="50"/>
      <c r="N19" s="50"/>
      <c r="O19" s="50"/>
      <c r="P19" s="66"/>
    </row>
    <row r="20" spans="1:21" x14ac:dyDescent="0.25">
      <c r="A20" s="1"/>
      <c r="C20" s="208" t="s">
        <v>174</v>
      </c>
      <c r="D20" s="209"/>
      <c r="E20" s="85" t="s">
        <v>237</v>
      </c>
      <c r="F20" s="97" t="s">
        <v>178</v>
      </c>
      <c r="H20" s="95" t="s">
        <v>184</v>
      </c>
      <c r="I20" s="50"/>
      <c r="J20" s="50"/>
      <c r="K20" s="50"/>
      <c r="L20" s="50"/>
      <c r="M20" s="50"/>
      <c r="N20" s="50"/>
      <c r="O20" s="50"/>
      <c r="P20" s="66"/>
    </row>
    <row r="21" spans="1:21" ht="13.8" x14ac:dyDescent="0.25">
      <c r="A21" s="123" t="s">
        <v>127</v>
      </c>
      <c r="B21" s="124" t="s">
        <v>180</v>
      </c>
      <c r="C21" s="5" t="s">
        <v>5</v>
      </c>
      <c r="D21" s="5" t="s">
        <v>6</v>
      </c>
      <c r="E21" s="6" t="s">
        <v>239</v>
      </c>
      <c r="F21" s="85" t="s">
        <v>179</v>
      </c>
      <c r="M21" s="68" t="s">
        <v>185</v>
      </c>
      <c r="N21" s="50"/>
      <c r="O21" s="50"/>
      <c r="P21" s="66"/>
      <c r="Q21" s="66"/>
      <c r="R21" s="66"/>
      <c r="S21" s="66"/>
      <c r="T21" s="66"/>
      <c r="U21" s="66"/>
    </row>
    <row r="22" spans="1:21" x14ac:dyDescent="0.25">
      <c r="A22" s="1" t="s">
        <v>100</v>
      </c>
      <c r="B22" s="43">
        <f>SUM(B23:B27)</f>
        <v>432.78999999999996</v>
      </c>
      <c r="G22" s="76" t="s">
        <v>71</v>
      </c>
      <c r="H22" s="30" t="s">
        <v>94</v>
      </c>
    </row>
    <row r="23" spans="1:21" x14ac:dyDescent="0.25">
      <c r="A23" s="72" t="s">
        <v>195</v>
      </c>
      <c r="B23" s="3"/>
      <c r="C23" s="5">
        <v>180</v>
      </c>
      <c r="D23" s="5">
        <v>205</v>
      </c>
      <c r="E23" s="8"/>
      <c r="H23" s="95" t="s">
        <v>210</v>
      </c>
      <c r="I23" s="179"/>
      <c r="J23" s="179"/>
      <c r="K23" s="179"/>
      <c r="L23" s="179"/>
      <c r="M23" s="179"/>
    </row>
    <row r="24" spans="1:21" x14ac:dyDescent="0.25">
      <c r="A24" s="72" t="s">
        <v>196</v>
      </c>
      <c r="B24" s="189">
        <v>98.84</v>
      </c>
      <c r="D24" s="8">
        <v>50</v>
      </c>
      <c r="E24" s="5">
        <v>98.84</v>
      </c>
      <c r="H24" s="95" t="s">
        <v>219</v>
      </c>
      <c r="I24" s="179"/>
      <c r="J24" s="179"/>
      <c r="K24" s="179"/>
      <c r="L24" s="179"/>
      <c r="M24" s="179"/>
    </row>
    <row r="25" spans="1:21" x14ac:dyDescent="0.25">
      <c r="A25" s="72" t="s">
        <v>205</v>
      </c>
      <c r="B25" s="189">
        <v>106.85</v>
      </c>
      <c r="E25" s="8">
        <v>106.85</v>
      </c>
      <c r="F25" s="30"/>
      <c r="J25" s="14"/>
      <c r="K25" s="6"/>
    </row>
    <row r="26" spans="1:21" x14ac:dyDescent="0.25">
      <c r="A26" s="72" t="s">
        <v>197</v>
      </c>
      <c r="B26" s="3"/>
      <c r="C26" s="5">
        <v>80</v>
      </c>
      <c r="D26" s="5">
        <v>90</v>
      </c>
      <c r="E26" s="8"/>
      <c r="G26" s="177" t="s">
        <v>241</v>
      </c>
      <c r="H26" s="183"/>
      <c r="J26" s="14"/>
      <c r="K26" s="6"/>
    </row>
    <row r="27" spans="1:21" x14ac:dyDescent="0.25">
      <c r="A27" s="72" t="s">
        <v>198</v>
      </c>
      <c r="B27" s="189">
        <v>227.1</v>
      </c>
      <c r="C27" s="5">
        <v>80</v>
      </c>
      <c r="D27" s="5">
        <v>140</v>
      </c>
      <c r="E27" s="8">
        <v>247.1</v>
      </c>
      <c r="F27" s="5">
        <v>87</v>
      </c>
    </row>
    <row r="28" spans="1:21" x14ac:dyDescent="0.25">
      <c r="A28" s="1" t="s">
        <v>101</v>
      </c>
      <c r="B28" s="43">
        <f>SUM(B29:B35)</f>
        <v>562.64634000000001</v>
      </c>
      <c r="E28" s="9"/>
      <c r="G28" s="32" t="s">
        <v>71</v>
      </c>
      <c r="H28" s="30" t="s">
        <v>95</v>
      </c>
    </row>
    <row r="29" spans="1:21" x14ac:dyDescent="0.25">
      <c r="A29" s="72" t="s">
        <v>203</v>
      </c>
      <c r="B29" s="189">
        <f>1077/1000*432.42</f>
        <v>465.71634</v>
      </c>
      <c r="C29" s="97"/>
      <c r="E29" s="174" t="s">
        <v>240</v>
      </c>
    </row>
    <row r="30" spans="1:21" x14ac:dyDescent="0.25">
      <c r="A30" s="72" t="s">
        <v>181</v>
      </c>
      <c r="B30" s="3"/>
      <c r="C30" s="5">
        <v>65</v>
      </c>
      <c r="D30" s="5">
        <v>90</v>
      </c>
      <c r="E30" s="8"/>
      <c r="F30" s="5">
        <v>56</v>
      </c>
    </row>
    <row r="31" spans="1:21" x14ac:dyDescent="0.25">
      <c r="A31" s="4" t="s">
        <v>12</v>
      </c>
      <c r="B31" s="3"/>
      <c r="C31" s="97"/>
      <c r="E31" s="8"/>
      <c r="F31" s="5">
        <v>94</v>
      </c>
    </row>
    <row r="32" spans="1:21" x14ac:dyDescent="0.25">
      <c r="A32" s="4" t="s">
        <v>13</v>
      </c>
      <c r="B32" s="3"/>
      <c r="E32" s="8"/>
    </row>
    <row r="33" spans="1:8" x14ac:dyDescent="0.25">
      <c r="A33" s="4" t="s">
        <v>14</v>
      </c>
      <c r="B33" s="3"/>
    </row>
    <row r="34" spans="1:8" x14ac:dyDescent="0.25">
      <c r="A34" s="4" t="s">
        <v>15</v>
      </c>
      <c r="B34" s="189">
        <f>1077*0.09</f>
        <v>96.929999999999993</v>
      </c>
      <c r="C34" s="5">
        <v>85</v>
      </c>
      <c r="D34" s="5">
        <v>105</v>
      </c>
      <c r="E34" s="174" t="s">
        <v>206</v>
      </c>
      <c r="F34" s="5">
        <v>66</v>
      </c>
    </row>
    <row r="35" spans="1:8" x14ac:dyDescent="0.25">
      <c r="A35" s="4" t="s">
        <v>16</v>
      </c>
      <c r="B35" s="3"/>
      <c r="E35" s="8"/>
    </row>
    <row r="36" spans="1:8" x14ac:dyDescent="0.25">
      <c r="A36" s="1" t="s">
        <v>102</v>
      </c>
      <c r="B36" s="11"/>
      <c r="E36" s="9"/>
    </row>
    <row r="37" spans="1:8" x14ac:dyDescent="0.25">
      <c r="A37" s="4" t="s">
        <v>17</v>
      </c>
      <c r="B37" s="44"/>
      <c r="E37" s="39"/>
    </row>
    <row r="38" spans="1:8" x14ac:dyDescent="0.25">
      <c r="A38" s="72" t="s">
        <v>207</v>
      </c>
      <c r="B38" s="190">
        <v>97.95</v>
      </c>
      <c r="C38" s="5">
        <v>65</v>
      </c>
      <c r="D38" s="5">
        <v>90</v>
      </c>
      <c r="E38" s="37">
        <v>97.95</v>
      </c>
      <c r="F38" s="5">
        <v>83</v>
      </c>
      <c r="G38" s="31"/>
      <c r="H38" s="31"/>
    </row>
    <row r="39" spans="1:8" x14ac:dyDescent="0.25">
      <c r="A39" s="72" t="s">
        <v>119</v>
      </c>
      <c r="B39" s="45"/>
      <c r="E39" s="39">
        <v>53</v>
      </c>
      <c r="F39" s="5">
        <v>94</v>
      </c>
      <c r="G39" s="97" t="s">
        <v>199</v>
      </c>
    </row>
    <row r="40" spans="1:8" x14ac:dyDescent="0.25">
      <c r="A40" s="4" t="s">
        <v>73</v>
      </c>
      <c r="B40" s="45"/>
      <c r="E40" s="37">
        <v>29</v>
      </c>
      <c r="G40" s="40" t="s">
        <v>93</v>
      </c>
      <c r="H40" s="30" t="s">
        <v>86</v>
      </c>
    </row>
    <row r="41" spans="1:8" x14ac:dyDescent="0.25">
      <c r="A41" s="4" t="s">
        <v>74</v>
      </c>
      <c r="B41" s="45"/>
      <c r="E41" s="39"/>
    </row>
    <row r="42" spans="1:8" x14ac:dyDescent="0.25">
      <c r="A42" s="4" t="s">
        <v>75</v>
      </c>
      <c r="B42" s="45"/>
      <c r="E42" s="39"/>
    </row>
    <row r="43" spans="1:8" x14ac:dyDescent="0.25">
      <c r="A43" s="4" t="s">
        <v>76</v>
      </c>
      <c r="B43" s="46"/>
      <c r="E43" s="39"/>
    </row>
    <row r="44" spans="1:8" x14ac:dyDescent="0.25">
      <c r="A44" s="1" t="s">
        <v>103</v>
      </c>
      <c r="B44" s="11"/>
    </row>
    <row r="45" spans="1:8" x14ac:dyDescent="0.25">
      <c r="A45" s="4" t="s">
        <v>18</v>
      </c>
      <c r="B45" s="3">
        <v>15</v>
      </c>
      <c r="E45" s="37"/>
    </row>
    <row r="46" spans="1:8" x14ac:dyDescent="0.25">
      <c r="A46" s="4" t="s">
        <v>19</v>
      </c>
      <c r="B46" s="3">
        <v>12</v>
      </c>
      <c r="E46" s="37"/>
      <c r="F46" s="30" t="s">
        <v>113</v>
      </c>
      <c r="G46" s="30"/>
    </row>
    <row r="47" spans="1:8" x14ac:dyDescent="0.25">
      <c r="A47" s="4" t="s">
        <v>20</v>
      </c>
      <c r="B47" s="3">
        <v>0.1</v>
      </c>
      <c r="E47" s="39"/>
      <c r="F47" s="30"/>
      <c r="G47" s="31"/>
    </row>
    <row r="48" spans="1:8" x14ac:dyDescent="0.25">
      <c r="A48" s="21" t="s">
        <v>104</v>
      </c>
      <c r="B48" s="43">
        <v>25</v>
      </c>
      <c r="C48" s="198" t="s">
        <v>235</v>
      </c>
      <c r="E48" s="9"/>
      <c r="F48" s="30" t="s">
        <v>143</v>
      </c>
      <c r="G48" s="30" t="s">
        <v>94</v>
      </c>
    </row>
    <row r="49" spans="1:43" s="4" customFormat="1" x14ac:dyDescent="0.25">
      <c r="A49" s="4" t="s">
        <v>11</v>
      </c>
      <c r="B49" s="72" t="s">
        <v>208</v>
      </c>
      <c r="C49" s="197">
        <v>2023</v>
      </c>
      <c r="D49" s="47">
        <v>5</v>
      </c>
      <c r="E49" s="180">
        <v>47.52</v>
      </c>
      <c r="F49" s="30" t="s">
        <v>226</v>
      </c>
      <c r="G49" s="31"/>
      <c r="H49" s="7"/>
      <c r="I49" s="7"/>
      <c r="J49" s="7"/>
      <c r="K49" s="7"/>
      <c r="L49" s="7"/>
      <c r="M49" s="7"/>
      <c r="N49" s="7"/>
      <c r="O49" s="7"/>
    </row>
    <row r="50" spans="1:43" s="4" customFormat="1" x14ac:dyDescent="0.25">
      <c r="A50" s="4" t="s">
        <v>9</v>
      </c>
      <c r="C50" s="197" t="s">
        <v>221</v>
      </c>
      <c r="D50" s="47">
        <v>5</v>
      </c>
      <c r="E50" s="181">
        <v>98.08</v>
      </c>
      <c r="F50" s="85" t="s">
        <v>189</v>
      </c>
      <c r="G50" s="97" t="s">
        <v>192</v>
      </c>
      <c r="H50" s="7"/>
      <c r="I50" s="7">
        <f>150*2.5</f>
        <v>375</v>
      </c>
      <c r="J50" s="85" t="s">
        <v>193</v>
      </c>
      <c r="K50" s="7"/>
      <c r="L50" s="7"/>
      <c r="M50" s="7"/>
      <c r="N50" s="7"/>
      <c r="O50" s="7"/>
    </row>
    <row r="51" spans="1:43" s="4" customFormat="1" x14ac:dyDescent="0.25">
      <c r="A51" s="4" t="s">
        <v>10</v>
      </c>
      <c r="B51" s="1"/>
      <c r="C51" s="197" t="s">
        <v>222</v>
      </c>
      <c r="D51" s="47">
        <v>10</v>
      </c>
      <c r="E51" s="181">
        <v>19.489999999999998</v>
      </c>
      <c r="F51" s="85" t="s">
        <v>190</v>
      </c>
      <c r="G51" s="97" t="s">
        <v>194</v>
      </c>
      <c r="H51" s="7"/>
      <c r="I51" s="7"/>
      <c r="J51" s="7"/>
      <c r="K51" s="7"/>
      <c r="L51" s="7"/>
      <c r="M51" s="7"/>
      <c r="N51" s="7"/>
      <c r="O51" s="7"/>
    </row>
    <row r="52" spans="1:43" s="4" customFormat="1" x14ac:dyDescent="0.25">
      <c r="A52" s="4" t="s">
        <v>7</v>
      </c>
      <c r="C52" s="197" t="s">
        <v>223</v>
      </c>
      <c r="D52" s="47">
        <v>20</v>
      </c>
      <c r="E52" s="181">
        <v>2.4900000000000002</v>
      </c>
      <c r="F52" s="85" t="s">
        <v>191</v>
      </c>
      <c r="G52" s="97" t="s">
        <v>225</v>
      </c>
      <c r="H52" s="7"/>
      <c r="I52" s="7"/>
      <c r="J52" s="7"/>
      <c r="K52" s="7"/>
      <c r="L52" s="7"/>
      <c r="M52" s="7"/>
      <c r="N52" s="7"/>
      <c r="O52" s="7"/>
    </row>
    <row r="53" spans="1:43" s="4" customFormat="1" x14ac:dyDescent="0.25">
      <c r="A53" s="4" t="s">
        <v>8</v>
      </c>
      <c r="C53" s="197" t="s">
        <v>224</v>
      </c>
      <c r="D53" s="47">
        <v>10</v>
      </c>
      <c r="E53" s="10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43" x14ac:dyDescent="0.25">
      <c r="A54" s="64" t="s">
        <v>117</v>
      </c>
      <c r="B54" s="58">
        <v>2500</v>
      </c>
      <c r="C54" s="41">
        <v>1250</v>
      </c>
      <c r="D54" s="41">
        <v>5000</v>
      </c>
      <c r="E54" s="9"/>
      <c r="F54" s="30" t="s">
        <v>111</v>
      </c>
    </row>
    <row r="58" spans="1:43" x14ac:dyDescent="0.25">
      <c r="A58" s="1"/>
      <c r="B58" s="6"/>
      <c r="E58" s="6"/>
    </row>
    <row r="59" spans="1:43" x14ac:dyDescent="0.25">
      <c r="A59" s="127" t="s">
        <v>147</v>
      </c>
      <c r="B59" s="80"/>
      <c r="O59" s="68" t="s">
        <v>114</v>
      </c>
      <c r="P59" s="66"/>
      <c r="Q59" s="66"/>
      <c r="R59" s="66"/>
      <c r="S59" s="66"/>
      <c r="T59" s="66"/>
      <c r="U59" s="66"/>
    </row>
    <row r="60" spans="1:43" x14ac:dyDescent="0.25">
      <c r="A60" s="23" t="s">
        <v>21</v>
      </c>
      <c r="B60" s="6">
        <v>0</v>
      </c>
      <c r="C60" s="6">
        <f>B60+1</f>
        <v>1</v>
      </c>
      <c r="D60" s="6">
        <f t="shared" ref="D60:N60" si="0">C60+1</f>
        <v>2</v>
      </c>
      <c r="E60" s="6">
        <f t="shared" si="0"/>
        <v>3</v>
      </c>
      <c r="F60" s="6">
        <f t="shared" si="0"/>
        <v>4</v>
      </c>
      <c r="G60" s="6">
        <f t="shared" si="0"/>
        <v>5</v>
      </c>
      <c r="H60" s="6">
        <f t="shared" si="0"/>
        <v>6</v>
      </c>
      <c r="I60" s="6">
        <f t="shared" si="0"/>
        <v>7</v>
      </c>
      <c r="J60" s="6">
        <f t="shared" si="0"/>
        <v>8</v>
      </c>
      <c r="K60" s="6">
        <f t="shared" si="0"/>
        <v>9</v>
      </c>
      <c r="L60" s="6">
        <f t="shared" si="0"/>
        <v>10</v>
      </c>
      <c r="M60" s="6">
        <f t="shared" si="0"/>
        <v>11</v>
      </c>
      <c r="N60" s="6">
        <f t="shared" si="0"/>
        <v>12</v>
      </c>
      <c r="O60" s="6">
        <f t="shared" ref="O60" si="1">N60+1</f>
        <v>13</v>
      </c>
      <c r="P60" s="6">
        <f t="shared" ref="P60" si="2">O60+1</f>
        <v>14</v>
      </c>
      <c r="Q60" s="6">
        <f t="shared" ref="Q60" si="3">P60+1</f>
        <v>15</v>
      </c>
      <c r="R60" s="6">
        <f t="shared" ref="R60" si="4">Q60+1</f>
        <v>16</v>
      </c>
      <c r="S60" s="6">
        <f t="shared" ref="S60" si="5">R60+1</f>
        <v>17</v>
      </c>
      <c r="T60" s="6">
        <f t="shared" ref="T60" si="6">S60+1</f>
        <v>18</v>
      </c>
      <c r="U60" s="6">
        <f t="shared" ref="U60" si="7">T60+1</f>
        <v>19</v>
      </c>
      <c r="V60" s="6">
        <f t="shared" ref="V60" si="8">U60+1</f>
        <v>20</v>
      </c>
      <c r="W60" s="6">
        <f t="shared" ref="W60" si="9">V60+1</f>
        <v>21</v>
      </c>
      <c r="X60" s="6">
        <f t="shared" ref="X60" si="10">W60+1</f>
        <v>22</v>
      </c>
      <c r="Y60" s="6">
        <f t="shared" ref="Y60" si="11">X60+1</f>
        <v>23</v>
      </c>
      <c r="Z60" s="6">
        <f t="shared" ref="Z60" si="12">Y60+1</f>
        <v>24</v>
      </c>
      <c r="AA60" s="6">
        <f t="shared" ref="AA60" si="13">Z60+1</f>
        <v>25</v>
      </c>
      <c r="AB60" s="6">
        <f t="shared" ref="AB60" si="14">AA60+1</f>
        <v>26</v>
      </c>
      <c r="AC60" s="6">
        <f t="shared" ref="AC60" si="15">AB60+1</f>
        <v>27</v>
      </c>
      <c r="AD60" s="6">
        <f t="shared" ref="AD60" si="16">AC60+1</f>
        <v>28</v>
      </c>
      <c r="AE60" s="6">
        <f t="shared" ref="AE60" si="17">AD60+1</f>
        <v>29</v>
      </c>
      <c r="AF60" s="6">
        <f t="shared" ref="AF60" si="18">AE60+1</f>
        <v>30</v>
      </c>
      <c r="AG60" s="6">
        <f t="shared" ref="AG60" si="19">AF60+1</f>
        <v>31</v>
      </c>
      <c r="AH60" s="6">
        <f t="shared" ref="AH60" si="20">AG60+1</f>
        <v>32</v>
      </c>
      <c r="AI60" s="6">
        <f t="shared" ref="AI60" si="21">AH60+1</f>
        <v>33</v>
      </c>
      <c r="AJ60" s="6">
        <f t="shared" ref="AJ60" si="22">AI60+1</f>
        <v>34</v>
      </c>
      <c r="AK60" s="6">
        <f t="shared" ref="AK60" si="23">AJ60+1</f>
        <v>35</v>
      </c>
      <c r="AL60" s="6">
        <f t="shared" ref="AL60" si="24">AK60+1</f>
        <v>36</v>
      </c>
      <c r="AM60" s="6">
        <f t="shared" ref="AM60" si="25">AL60+1</f>
        <v>37</v>
      </c>
      <c r="AN60" s="6">
        <f t="shared" ref="AN60" si="26">AM60+1</f>
        <v>38</v>
      </c>
      <c r="AO60" s="6">
        <f t="shared" ref="AO60" si="27">AN60+1</f>
        <v>39</v>
      </c>
      <c r="AP60" s="6">
        <f t="shared" ref="AP60" si="28">AO60+1</f>
        <v>40</v>
      </c>
      <c r="AQ60" s="6"/>
    </row>
    <row r="61" spans="1:43" x14ac:dyDescent="0.25">
      <c r="A61" t="s">
        <v>24</v>
      </c>
      <c r="B61">
        <v>1</v>
      </c>
      <c r="C61"/>
      <c r="D61"/>
      <c r="E61"/>
      <c r="F61"/>
      <c r="G61"/>
      <c r="H61"/>
      <c r="I61"/>
      <c r="J61"/>
      <c r="K61"/>
      <c r="L61"/>
      <c r="M61"/>
      <c r="N61"/>
    </row>
    <row r="62" spans="1:43" x14ac:dyDescent="0.25">
      <c r="A62" t="s">
        <v>55</v>
      </c>
      <c r="B62">
        <v>1</v>
      </c>
      <c r="C62"/>
      <c r="D62"/>
      <c r="E62"/>
      <c r="F62"/>
      <c r="G62"/>
      <c r="H62"/>
      <c r="I62"/>
      <c r="J62"/>
      <c r="K62"/>
      <c r="L62"/>
      <c r="M62"/>
      <c r="N62"/>
    </row>
    <row r="63" spans="1:43" x14ac:dyDescent="0.25">
      <c r="A63" t="s">
        <v>58</v>
      </c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43" x14ac:dyDescent="0.25">
      <c r="A64" t="s">
        <v>59</v>
      </c>
      <c r="B64"/>
      <c r="C64">
        <v>1</v>
      </c>
      <c r="D64"/>
      <c r="E64"/>
      <c r="F64"/>
      <c r="G64"/>
      <c r="H64"/>
      <c r="I64"/>
      <c r="J64"/>
      <c r="K64"/>
      <c r="L64"/>
      <c r="M64"/>
      <c r="N64"/>
    </row>
    <row r="65" spans="1:42" x14ac:dyDescent="0.25">
      <c r="A65" s="72" t="s">
        <v>175</v>
      </c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42" x14ac:dyDescent="0.25">
      <c r="A66" t="s">
        <v>57</v>
      </c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42" x14ac:dyDescent="0.25">
      <c r="A67" t="s">
        <v>77</v>
      </c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42" x14ac:dyDescent="0.25">
      <c r="A68" t="s">
        <v>78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42" x14ac:dyDescent="0.25">
      <c r="A69" t="s">
        <v>79</v>
      </c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42" x14ac:dyDescent="0.25">
      <c r="A70" t="s">
        <v>80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0</v>
      </c>
    </row>
    <row r="71" spans="1:42" x14ac:dyDescent="0.25">
      <c r="A71" s="4" t="s">
        <v>81</v>
      </c>
      <c r="B71" s="33">
        <v>0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</row>
    <row r="72" spans="1:42" x14ac:dyDescent="0.25">
      <c r="A72" s="4"/>
    </row>
    <row r="73" spans="1:42" x14ac:dyDescent="0.25">
      <c r="A73" s="123" t="s">
        <v>128</v>
      </c>
      <c r="B73" s="80"/>
      <c r="O73" s="95" t="s">
        <v>156</v>
      </c>
      <c r="P73" s="66"/>
      <c r="Q73" s="66"/>
      <c r="R73" s="66"/>
      <c r="S73" s="66"/>
      <c r="T73" s="66"/>
      <c r="U73" s="66"/>
      <c r="V73" s="66"/>
    </row>
    <row r="74" spans="1:42" x14ac:dyDescent="0.25">
      <c r="A74" t="s">
        <v>28</v>
      </c>
      <c r="B74" s="96">
        <f>$B$48*B70</f>
        <v>25</v>
      </c>
      <c r="C74" s="96">
        <f t="shared" ref="C74:AP74" si="29">$B$48*C70</f>
        <v>25</v>
      </c>
      <c r="D74" s="96">
        <f t="shared" si="29"/>
        <v>25</v>
      </c>
      <c r="E74" s="96">
        <f t="shared" si="29"/>
        <v>25</v>
      </c>
      <c r="F74" s="96">
        <f t="shared" si="29"/>
        <v>25</v>
      </c>
      <c r="G74" s="96">
        <f t="shared" si="29"/>
        <v>25</v>
      </c>
      <c r="H74" s="96">
        <f t="shared" si="29"/>
        <v>25</v>
      </c>
      <c r="I74" s="96">
        <f t="shared" si="29"/>
        <v>25</v>
      </c>
      <c r="J74" s="96">
        <f t="shared" si="29"/>
        <v>25</v>
      </c>
      <c r="K74" s="96">
        <f t="shared" si="29"/>
        <v>25</v>
      </c>
      <c r="L74" s="96">
        <f t="shared" si="29"/>
        <v>25</v>
      </c>
      <c r="M74" s="96">
        <f t="shared" si="29"/>
        <v>25</v>
      </c>
      <c r="N74" s="96">
        <f t="shared" si="29"/>
        <v>25</v>
      </c>
      <c r="O74" s="96">
        <f t="shared" si="29"/>
        <v>25</v>
      </c>
      <c r="P74" s="96">
        <f t="shared" si="29"/>
        <v>25</v>
      </c>
      <c r="Q74" s="96">
        <f t="shared" si="29"/>
        <v>25</v>
      </c>
      <c r="R74" s="96">
        <f t="shared" si="29"/>
        <v>25</v>
      </c>
      <c r="S74" s="96">
        <f t="shared" si="29"/>
        <v>25</v>
      </c>
      <c r="T74" s="96">
        <f t="shared" si="29"/>
        <v>25</v>
      </c>
      <c r="U74" s="96">
        <f t="shared" si="29"/>
        <v>25</v>
      </c>
      <c r="V74" s="96">
        <f t="shared" si="29"/>
        <v>25</v>
      </c>
      <c r="W74" s="96">
        <f t="shared" si="29"/>
        <v>25</v>
      </c>
      <c r="X74" s="96">
        <f t="shared" si="29"/>
        <v>25</v>
      </c>
      <c r="Y74" s="96">
        <f t="shared" si="29"/>
        <v>25</v>
      </c>
      <c r="Z74" s="96">
        <f t="shared" si="29"/>
        <v>25</v>
      </c>
      <c r="AA74" s="96">
        <f t="shared" si="29"/>
        <v>25</v>
      </c>
      <c r="AB74" s="96">
        <f t="shared" si="29"/>
        <v>25</v>
      </c>
      <c r="AC74" s="96">
        <f t="shared" si="29"/>
        <v>25</v>
      </c>
      <c r="AD74" s="96">
        <f t="shared" si="29"/>
        <v>25</v>
      </c>
      <c r="AE74" s="96">
        <f t="shared" si="29"/>
        <v>25</v>
      </c>
      <c r="AF74" s="96">
        <f t="shared" si="29"/>
        <v>25</v>
      </c>
      <c r="AG74" s="96">
        <f t="shared" si="29"/>
        <v>25</v>
      </c>
      <c r="AH74" s="96">
        <f t="shared" si="29"/>
        <v>25</v>
      </c>
      <c r="AI74" s="96">
        <f t="shared" si="29"/>
        <v>25</v>
      </c>
      <c r="AJ74" s="96">
        <f t="shared" si="29"/>
        <v>25</v>
      </c>
      <c r="AK74" s="96">
        <f t="shared" si="29"/>
        <v>25</v>
      </c>
      <c r="AL74" s="96">
        <f t="shared" si="29"/>
        <v>25</v>
      </c>
      <c r="AM74" s="96">
        <f t="shared" si="29"/>
        <v>25</v>
      </c>
      <c r="AN74" s="96">
        <f t="shared" si="29"/>
        <v>25</v>
      </c>
      <c r="AO74" s="96">
        <f t="shared" si="29"/>
        <v>25</v>
      </c>
      <c r="AP74" s="96">
        <f t="shared" si="29"/>
        <v>0</v>
      </c>
    </row>
    <row r="75" spans="1:42" x14ac:dyDescent="0.25">
      <c r="A75" t="s">
        <v>27</v>
      </c>
      <c r="B75" s="26">
        <f>IF($B22*B61=0,"",$B22*B61)</f>
        <v>432.78999999999996</v>
      </c>
      <c r="C75" s="26" t="str">
        <f t="shared" ref="C75:N75" si="30">IF($B28*C61=0,"",$B28*C61)</f>
        <v/>
      </c>
      <c r="D75" s="26" t="str">
        <f t="shared" si="30"/>
        <v/>
      </c>
      <c r="E75" s="26" t="str">
        <f t="shared" si="30"/>
        <v/>
      </c>
      <c r="F75" s="26" t="str">
        <f t="shared" si="30"/>
        <v/>
      </c>
      <c r="G75" s="26" t="str">
        <f t="shared" si="30"/>
        <v/>
      </c>
      <c r="H75" s="26" t="str">
        <f t="shared" si="30"/>
        <v/>
      </c>
      <c r="I75" s="26" t="str">
        <f t="shared" si="30"/>
        <v/>
      </c>
      <c r="J75" s="26" t="str">
        <f t="shared" si="30"/>
        <v/>
      </c>
      <c r="K75" s="26" t="str">
        <f t="shared" si="30"/>
        <v/>
      </c>
      <c r="L75" s="26" t="str">
        <f t="shared" si="30"/>
        <v/>
      </c>
      <c r="M75" s="26" t="str">
        <f t="shared" si="30"/>
        <v/>
      </c>
      <c r="N75" s="26" t="str">
        <f t="shared" si="30"/>
        <v/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42" x14ac:dyDescent="0.25">
      <c r="A76" t="s">
        <v>22</v>
      </c>
      <c r="B76" s="26">
        <f>IF($B28*B62=0,"",$B28*B62)</f>
        <v>562.64634000000001</v>
      </c>
      <c r="C76" s="26" t="str">
        <f t="shared" ref="C76:N76" si="31">IF($B36*C62=0,"",$B36*C62)</f>
        <v/>
      </c>
      <c r="D76" s="26" t="str">
        <f t="shared" si="31"/>
        <v/>
      </c>
      <c r="E76" s="26" t="str">
        <f t="shared" si="31"/>
        <v/>
      </c>
      <c r="F76" s="26" t="str">
        <f t="shared" si="31"/>
        <v/>
      </c>
      <c r="G76" s="26" t="str">
        <f t="shared" si="31"/>
        <v/>
      </c>
      <c r="H76" s="26" t="str">
        <f t="shared" si="31"/>
        <v/>
      </c>
      <c r="I76" s="26" t="str">
        <f t="shared" si="31"/>
        <v/>
      </c>
      <c r="J76" s="26" t="str">
        <f t="shared" si="31"/>
        <v/>
      </c>
      <c r="K76" s="26" t="str">
        <f t="shared" si="31"/>
        <v/>
      </c>
      <c r="L76" s="26" t="str">
        <f t="shared" si="31"/>
        <v/>
      </c>
      <c r="M76" s="26" t="str">
        <f t="shared" si="31"/>
        <v/>
      </c>
      <c r="N76" s="26" t="str">
        <f t="shared" si="31"/>
        <v/>
      </c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42" x14ac:dyDescent="0.25">
      <c r="A77" t="s">
        <v>25</v>
      </c>
      <c r="B77" s="26" t="str">
        <f>IF($B37*B63=0,"",$B37*B63)</f>
        <v/>
      </c>
      <c r="C77" s="26" t="str">
        <f t="shared" ref="C77:N77" si="32">IF($B37*C63=0,"",$B37*C63)</f>
        <v/>
      </c>
      <c r="D77" s="26" t="str">
        <f t="shared" si="32"/>
        <v/>
      </c>
      <c r="E77" s="26" t="str">
        <f t="shared" si="32"/>
        <v/>
      </c>
      <c r="F77" s="26" t="str">
        <f t="shared" si="32"/>
        <v/>
      </c>
      <c r="G77" s="26" t="str">
        <f t="shared" si="32"/>
        <v/>
      </c>
      <c r="H77" s="26" t="str">
        <f t="shared" si="32"/>
        <v/>
      </c>
      <c r="I77" s="26" t="str">
        <f t="shared" si="32"/>
        <v/>
      </c>
      <c r="J77" s="26" t="str">
        <f t="shared" si="32"/>
        <v/>
      </c>
      <c r="K77" s="26" t="str">
        <f t="shared" si="32"/>
        <v/>
      </c>
      <c r="L77" s="26" t="str">
        <f t="shared" si="32"/>
        <v/>
      </c>
      <c r="M77" s="26" t="str">
        <f t="shared" si="32"/>
        <v/>
      </c>
      <c r="N77" s="26" t="str">
        <f t="shared" si="32"/>
        <v/>
      </c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42" x14ac:dyDescent="0.25">
      <c r="A78" t="s">
        <v>26</v>
      </c>
      <c r="B78" s="26" t="str">
        <f>IF($B38*B64=0,"",$B38*B64)</f>
        <v/>
      </c>
      <c r="C78" s="26">
        <f t="shared" ref="C78:N78" si="33">IF($B38*C64=0,"",$B38*C64)</f>
        <v>97.95</v>
      </c>
      <c r="D78" s="26" t="str">
        <f t="shared" si="33"/>
        <v/>
      </c>
      <c r="E78" s="26" t="str">
        <f t="shared" si="33"/>
        <v/>
      </c>
      <c r="F78" s="26" t="str">
        <f t="shared" si="33"/>
        <v/>
      </c>
      <c r="G78" s="26" t="str">
        <f t="shared" si="33"/>
        <v/>
      </c>
      <c r="H78" s="26" t="str">
        <f t="shared" si="33"/>
        <v/>
      </c>
      <c r="I78" s="26" t="str">
        <f t="shared" si="33"/>
        <v/>
      </c>
      <c r="J78" s="26" t="str">
        <f t="shared" si="33"/>
        <v/>
      </c>
      <c r="K78" s="26" t="str">
        <f t="shared" si="33"/>
        <v/>
      </c>
      <c r="L78" s="26" t="str">
        <f t="shared" si="33"/>
        <v/>
      </c>
      <c r="M78" s="26" t="str">
        <f t="shared" si="33"/>
        <v/>
      </c>
      <c r="N78" s="26" t="str">
        <f t="shared" si="33"/>
        <v/>
      </c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42" x14ac:dyDescent="0.25">
      <c r="A79" s="4" t="s">
        <v>82</v>
      </c>
      <c r="B79" s="26" t="str">
        <f t="shared" ref="B79:N79" si="34">IF($B39*B65=0,"",$B39*B65)</f>
        <v/>
      </c>
      <c r="C79" s="26" t="str">
        <f t="shared" si="34"/>
        <v/>
      </c>
      <c r="D79" s="26" t="str">
        <f t="shared" si="34"/>
        <v/>
      </c>
      <c r="E79" s="26" t="str">
        <f t="shared" si="34"/>
        <v/>
      </c>
      <c r="F79" s="26" t="str">
        <f t="shared" si="34"/>
        <v/>
      </c>
      <c r="G79" s="26" t="str">
        <f t="shared" si="34"/>
        <v/>
      </c>
      <c r="H79" s="26" t="str">
        <f t="shared" si="34"/>
        <v/>
      </c>
      <c r="I79" s="26" t="str">
        <f t="shared" si="34"/>
        <v/>
      </c>
      <c r="J79" s="26" t="str">
        <f t="shared" si="34"/>
        <v/>
      </c>
      <c r="K79" s="26" t="str">
        <f t="shared" si="34"/>
        <v/>
      </c>
      <c r="L79" s="26" t="str">
        <f t="shared" si="34"/>
        <v/>
      </c>
      <c r="M79" s="26" t="str">
        <f t="shared" si="34"/>
        <v/>
      </c>
      <c r="N79" s="26" t="str">
        <f t="shared" si="34"/>
        <v/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42" x14ac:dyDescent="0.25">
      <c r="A80" s="4" t="s">
        <v>83</v>
      </c>
      <c r="B80" s="26" t="str">
        <f>IF($B40*B66=0,"",$B40*B66)</f>
        <v/>
      </c>
      <c r="C80" s="26" t="str">
        <f t="shared" ref="C80:N80" si="35">IF($B40*C66=0,"",$B40*C66)</f>
        <v/>
      </c>
      <c r="D80" s="26" t="str">
        <f t="shared" si="35"/>
        <v/>
      </c>
      <c r="E80" s="26" t="str">
        <f t="shared" si="35"/>
        <v/>
      </c>
      <c r="F80" s="26" t="str">
        <f t="shared" si="35"/>
        <v/>
      </c>
      <c r="G80" s="26" t="str">
        <f t="shared" si="35"/>
        <v/>
      </c>
      <c r="H80" s="26" t="str">
        <f t="shared" si="35"/>
        <v/>
      </c>
      <c r="I80" s="26" t="str">
        <f t="shared" si="35"/>
        <v/>
      </c>
      <c r="J80" s="26" t="str">
        <f t="shared" si="35"/>
        <v/>
      </c>
      <c r="K80" s="26" t="str">
        <f t="shared" si="35"/>
        <v/>
      </c>
      <c r="L80" s="26" t="str">
        <f t="shared" si="35"/>
        <v/>
      </c>
      <c r="M80" s="26" t="str">
        <f t="shared" si="35"/>
        <v/>
      </c>
      <c r="N80" s="26" t="str">
        <f t="shared" si="35"/>
        <v/>
      </c>
      <c r="O80" s="26"/>
      <c r="P80" s="26"/>
      <c r="Q80" s="26"/>
      <c r="R80" s="202"/>
      <c r="S80" s="202" t="s">
        <v>246</v>
      </c>
      <c r="T80" s="202" t="s">
        <v>249</v>
      </c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49" x14ac:dyDescent="0.25">
      <c r="A81" s="4" t="s">
        <v>84</v>
      </c>
      <c r="B81" s="26" t="str">
        <f t="shared" ref="B81:N81" si="36">IF(SUMPRODUCT($B41:$B43,B67:B69)=0,"",SUMPRODUCT($B41:$B43,B67:B69))</f>
        <v/>
      </c>
      <c r="C81" s="26" t="str">
        <f t="shared" si="36"/>
        <v/>
      </c>
      <c r="D81" s="26" t="str">
        <f t="shared" si="36"/>
        <v/>
      </c>
      <c r="E81" s="26" t="str">
        <f t="shared" si="36"/>
        <v/>
      </c>
      <c r="F81" s="26" t="str">
        <f t="shared" si="36"/>
        <v/>
      </c>
      <c r="G81" s="26" t="str">
        <f t="shared" si="36"/>
        <v/>
      </c>
      <c r="H81" s="26" t="str">
        <f t="shared" si="36"/>
        <v/>
      </c>
      <c r="I81" s="26" t="str">
        <f t="shared" si="36"/>
        <v/>
      </c>
      <c r="J81" s="26" t="str">
        <f t="shared" si="36"/>
        <v/>
      </c>
      <c r="K81" s="26" t="str">
        <f t="shared" si="36"/>
        <v/>
      </c>
      <c r="L81" s="26" t="str">
        <f t="shared" si="36"/>
        <v/>
      </c>
      <c r="M81" s="26" t="str">
        <f t="shared" si="36"/>
        <v/>
      </c>
      <c r="N81" s="26" t="str">
        <f t="shared" si="36"/>
        <v/>
      </c>
      <c r="O81" s="26"/>
      <c r="P81" s="26"/>
      <c r="Q81" s="26"/>
      <c r="R81" s="202" t="s">
        <v>64</v>
      </c>
      <c r="S81" s="202">
        <v>0.52</v>
      </c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49" x14ac:dyDescent="0.25">
      <c r="A82" s="4" t="s">
        <v>85</v>
      </c>
      <c r="B82" s="26">
        <f>B54*B71</f>
        <v>0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02" t="s">
        <v>244</v>
      </c>
      <c r="S82" s="202">
        <v>0.45</v>
      </c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49" x14ac:dyDescent="0.25">
      <c r="R83" s="52" t="s">
        <v>245</v>
      </c>
      <c r="S83" s="66">
        <v>0.03</v>
      </c>
      <c r="V83" s="28"/>
    </row>
    <row r="84" spans="1:49" x14ac:dyDescent="0.25">
      <c r="A84" s="123" t="s">
        <v>23</v>
      </c>
      <c r="B84" s="80"/>
      <c r="D84" s="95" t="s">
        <v>212</v>
      </c>
      <c r="E84" s="50"/>
      <c r="F84" s="50"/>
      <c r="G84" s="50"/>
      <c r="H84" s="50"/>
      <c r="I84" s="50"/>
    </row>
    <row r="85" spans="1:49" x14ac:dyDescent="0.25">
      <c r="A85" s="72" t="s">
        <v>209</v>
      </c>
      <c r="B85" s="66">
        <f>F11</f>
        <v>10.86</v>
      </c>
      <c r="C85" s="28"/>
      <c r="D85" s="95" t="s">
        <v>214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0"/>
      <c r="P85" s="66"/>
      <c r="Q85" s="66"/>
      <c r="R85" s="66"/>
      <c r="S85" s="66"/>
      <c r="T85" s="66"/>
      <c r="U85" s="95" t="s">
        <v>211</v>
      </c>
      <c r="V85" s="52"/>
      <c r="W85" s="52"/>
      <c r="X85" s="52"/>
      <c r="Y85" s="52"/>
      <c r="Z85" s="52"/>
      <c r="AA85" s="52"/>
      <c r="AB85" s="52"/>
      <c r="AC85" s="28"/>
      <c r="AD85" s="28"/>
    </row>
    <row r="86" spans="1:49" x14ac:dyDescent="0.25">
      <c r="A86" s="72" t="s">
        <v>121</v>
      </c>
      <c r="B86" s="28">
        <v>0</v>
      </c>
      <c r="C86" s="28">
        <f>B86-B87+$B$85</f>
        <v>10.86</v>
      </c>
      <c r="D86" s="28">
        <f t="shared" ref="D86:N86" si="37">C86-C87+$B$85</f>
        <v>21.72</v>
      </c>
      <c r="E86" s="28">
        <f t="shared" si="37"/>
        <v>32.58</v>
      </c>
      <c r="F86" s="28">
        <f t="shared" si="37"/>
        <v>43.44</v>
      </c>
      <c r="G86" s="28">
        <f t="shared" si="37"/>
        <v>54.3</v>
      </c>
      <c r="H86" s="28">
        <f t="shared" si="37"/>
        <v>65.16</v>
      </c>
      <c r="I86" s="28">
        <f t="shared" si="37"/>
        <v>76.02</v>
      </c>
      <c r="J86" s="28">
        <f t="shared" si="37"/>
        <v>86.88</v>
      </c>
      <c r="K86" s="28">
        <f t="shared" si="37"/>
        <v>97.74</v>
      </c>
      <c r="L86" s="28">
        <f t="shared" si="37"/>
        <v>108.6</v>
      </c>
      <c r="M86" s="28">
        <f t="shared" si="37"/>
        <v>119.46</v>
      </c>
      <c r="N86" s="28">
        <f t="shared" si="37"/>
        <v>130.32</v>
      </c>
      <c r="O86" s="28">
        <f t="shared" ref="O86" si="38">N86-N87+$B$85</f>
        <v>141.18</v>
      </c>
      <c r="P86" s="28">
        <f t="shared" ref="P86" si="39">O86-O87+$B$85</f>
        <v>152.04000000000002</v>
      </c>
      <c r="Q86" s="28">
        <f t="shared" ref="Q86" si="40">P86-P87+$B$85</f>
        <v>162.90000000000003</v>
      </c>
      <c r="R86" s="28">
        <f t="shared" ref="R86" si="41">Q86-Q87+$B$85</f>
        <v>173.76000000000005</v>
      </c>
      <c r="S86" s="28">
        <f t="shared" ref="S86" si="42">R86-R87+$B$85</f>
        <v>184.62000000000006</v>
      </c>
      <c r="T86" s="28">
        <f t="shared" ref="T86" si="43">S86-S87+$B$85</f>
        <v>117.84000000000006</v>
      </c>
      <c r="U86" s="28">
        <f t="shared" ref="U86" si="44">T86-T87+$B$85</f>
        <v>128.70000000000005</v>
      </c>
      <c r="V86" s="28">
        <f t="shared" ref="V86" si="45">U86-U87+$B$85</f>
        <v>139.56000000000006</v>
      </c>
      <c r="W86" s="28">
        <f t="shared" ref="W86" si="46">V86-V87+$B$85</f>
        <v>150.42000000000007</v>
      </c>
      <c r="X86" s="28">
        <f t="shared" ref="X86" si="47">W86-W87+$B$85</f>
        <v>161.28000000000009</v>
      </c>
      <c r="Y86" s="28">
        <f t="shared" ref="Y86" si="48">X86-X87+$B$85</f>
        <v>172.1400000000001</v>
      </c>
      <c r="Z86" s="28">
        <f t="shared" ref="Z86" si="49">Y86-Y87+$B$85</f>
        <v>183.00000000000011</v>
      </c>
      <c r="AA86" s="28">
        <f t="shared" ref="AA86" si="50">Z86-Z87+$B$85</f>
        <v>193.86000000000013</v>
      </c>
      <c r="AB86" s="28">
        <f t="shared" ref="AB86" si="51">AA86-AA87+$B$85</f>
        <v>204.72000000000014</v>
      </c>
      <c r="AC86" s="28">
        <f t="shared" ref="AC86" si="52">AB86-AB87+$B$85</f>
        <v>215.58000000000015</v>
      </c>
      <c r="AD86" s="28">
        <f t="shared" ref="AD86" si="53">AC86-AC87+$B$85</f>
        <v>226.44000000000017</v>
      </c>
      <c r="AE86" s="28">
        <f t="shared" ref="AE86" si="54">AD86-AD87+$B$85</f>
        <v>237.30000000000018</v>
      </c>
      <c r="AF86" s="28">
        <f t="shared" ref="AF86" si="55">AE86-AE87+$B$85</f>
        <v>248.1600000000002</v>
      </c>
      <c r="AG86" s="28">
        <f t="shared" ref="AG86" si="56">AF86-AF87+$B$85</f>
        <v>259.02000000000021</v>
      </c>
      <c r="AH86" s="28">
        <f t="shared" ref="AH86" si="57">AG86-AG87+$B$85</f>
        <v>269.88000000000022</v>
      </c>
      <c r="AI86" s="28">
        <f t="shared" ref="AI86" si="58">AH86-AH87+$B$85</f>
        <v>280.74000000000024</v>
      </c>
      <c r="AJ86" s="28">
        <f t="shared" ref="AJ86" si="59">AI86-AI87+$B$85</f>
        <v>291.60000000000025</v>
      </c>
      <c r="AK86" s="28">
        <f t="shared" ref="AK86" si="60">AJ86-AJ87+$B$85</f>
        <v>302.46000000000026</v>
      </c>
      <c r="AL86" s="28">
        <f t="shared" ref="AL86" si="61">AK86-AK87+$B$85</f>
        <v>313.32000000000028</v>
      </c>
      <c r="AM86" s="28">
        <f t="shared" ref="AM86" si="62">AL86-AL87+$B$85</f>
        <v>324.18000000000029</v>
      </c>
      <c r="AN86" s="28">
        <f t="shared" ref="AN86" si="63">AM86-AM87+$B$85</f>
        <v>335.0400000000003</v>
      </c>
      <c r="AO86" s="28">
        <f t="shared" ref="AO86" si="64">AN86-AN87+$B$85</f>
        <v>345.90000000000032</v>
      </c>
      <c r="AP86" s="28">
        <f t="shared" ref="AP86" si="65">AO86-AO87+$B$85</f>
        <v>356.76000000000033</v>
      </c>
      <c r="AQ86" s="79" t="s">
        <v>213</v>
      </c>
      <c r="AR86" s="66"/>
      <c r="AS86" s="66"/>
    </row>
    <row r="87" spans="1:49" x14ac:dyDescent="0.25">
      <c r="A87" s="79" t="s">
        <v>145</v>
      </c>
      <c r="B87" s="66"/>
      <c r="C87" s="66"/>
      <c r="D87"/>
      <c r="E87"/>
      <c r="F87"/>
      <c r="G87"/>
      <c r="H87"/>
      <c r="I87"/>
      <c r="J87"/>
      <c r="K87"/>
      <c r="L87"/>
      <c r="M87"/>
      <c r="N87"/>
      <c r="S87">
        <v>77.64</v>
      </c>
    </row>
    <row r="88" spans="1:49" x14ac:dyDescent="0.25">
      <c r="A88" s="79" t="s">
        <v>144</v>
      </c>
      <c r="B88" s="66"/>
      <c r="C88" s="66"/>
      <c r="D88"/>
      <c r="E88"/>
      <c r="F88"/>
      <c r="G88"/>
      <c r="H88"/>
      <c r="I88"/>
      <c r="J88"/>
      <c r="K88"/>
      <c r="L88"/>
      <c r="M88"/>
      <c r="N88"/>
      <c r="AP88">
        <f>AP86</f>
        <v>356.76000000000033</v>
      </c>
      <c r="AQ88" s="79" t="s">
        <v>217</v>
      </c>
      <c r="AR88" s="66"/>
      <c r="AS88" s="66"/>
      <c r="AT88" s="66"/>
      <c r="AU88" s="66"/>
      <c r="AV88" s="66"/>
      <c r="AW88" s="66"/>
    </row>
    <row r="89" spans="1:49" x14ac:dyDescent="0.25">
      <c r="A89" t="s">
        <v>29</v>
      </c>
      <c r="B89"/>
      <c r="C89"/>
      <c r="D89"/>
      <c r="E89"/>
      <c r="G89"/>
      <c r="H89"/>
      <c r="I89"/>
      <c r="J89"/>
      <c r="K89"/>
      <c r="L89"/>
      <c r="M89"/>
      <c r="N89"/>
      <c r="AQ89" s="79" t="s">
        <v>234</v>
      </c>
      <c r="AR89" s="66"/>
      <c r="AS89" s="66"/>
      <c r="AT89" s="66"/>
      <c r="AU89" s="66"/>
      <c r="AV89" s="66"/>
      <c r="AW89" s="66"/>
    </row>
    <row r="90" spans="1:49" x14ac:dyDescent="0.25">
      <c r="A90" t="s">
        <v>30</v>
      </c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49" x14ac:dyDescent="0.25">
      <c r="A91" t="s">
        <v>31</v>
      </c>
      <c r="B91"/>
      <c r="C91"/>
      <c r="D91"/>
      <c r="E91"/>
      <c r="F91"/>
      <c r="G91"/>
      <c r="H91"/>
      <c r="I91"/>
      <c r="J91"/>
      <c r="K91"/>
      <c r="L91"/>
      <c r="M91"/>
      <c r="N91"/>
      <c r="R91" s="28"/>
      <c r="S91" s="199">
        <f>$S$87*S81</f>
        <v>40.372800000000005</v>
      </c>
      <c r="W91" s="199"/>
      <c r="AP91" s="199">
        <f>$AP$88*0.22</f>
        <v>78.487200000000072</v>
      </c>
      <c r="AQ91" s="79" t="s">
        <v>253</v>
      </c>
      <c r="AR91" s="66"/>
    </row>
    <row r="92" spans="1:49" x14ac:dyDescent="0.25">
      <c r="A92" t="s">
        <v>32</v>
      </c>
      <c r="B92"/>
      <c r="C92"/>
      <c r="D92"/>
      <c r="E92"/>
      <c r="F92"/>
      <c r="G92"/>
      <c r="H92"/>
      <c r="I92"/>
      <c r="J92"/>
      <c r="K92"/>
      <c r="L92"/>
      <c r="M92"/>
      <c r="N92"/>
      <c r="R92" s="28"/>
      <c r="S92" s="199">
        <f t="shared" ref="S92:S93" si="66">$S$87*S82</f>
        <v>34.938000000000002</v>
      </c>
      <c r="W92" s="199"/>
      <c r="AP92" s="199">
        <f>$AP$88*0.51</f>
        <v>181.94760000000016</v>
      </c>
      <c r="AQ92" s="79" t="s">
        <v>247</v>
      </c>
      <c r="AR92" s="66"/>
    </row>
    <row r="93" spans="1:49" x14ac:dyDescent="0.25">
      <c r="A93" t="s">
        <v>33</v>
      </c>
      <c r="B93"/>
      <c r="C93"/>
      <c r="D93"/>
      <c r="E93"/>
      <c r="F93"/>
      <c r="G93" s="6" t="s">
        <v>233</v>
      </c>
      <c r="H93"/>
      <c r="I93"/>
      <c r="J93"/>
      <c r="K93"/>
      <c r="L93"/>
      <c r="M93"/>
      <c r="N93"/>
      <c r="R93" s="28"/>
      <c r="S93" s="199">
        <f t="shared" si="66"/>
        <v>2.3291999999999997</v>
      </c>
      <c r="W93" s="199"/>
      <c r="AP93" s="199">
        <f>$AP$88*0.27</f>
        <v>96.325200000000095</v>
      </c>
      <c r="AQ93" s="79" t="s">
        <v>254</v>
      </c>
      <c r="AR93" s="66"/>
    </row>
    <row r="94" spans="1:49" ht="13.8" thickBot="1" x14ac:dyDescent="0.3">
      <c r="A94" t="s">
        <v>34</v>
      </c>
      <c r="B94"/>
      <c r="C94"/>
      <c r="D94"/>
      <c r="E94"/>
      <c r="F94" s="72" t="s">
        <v>227</v>
      </c>
      <c r="G94" s="1" t="s">
        <v>230</v>
      </c>
      <c r="H94" s="6" t="s">
        <v>171</v>
      </c>
      <c r="I94" s="1" t="s">
        <v>172</v>
      </c>
      <c r="J94"/>
      <c r="K94"/>
      <c r="L94"/>
      <c r="M94"/>
      <c r="N94"/>
      <c r="R94" s="28"/>
      <c r="AQ94" s="79" t="s">
        <v>255</v>
      </c>
      <c r="AR94" s="66"/>
      <c r="AS94" s="66"/>
    </row>
    <row r="95" spans="1:49" ht="13.8" thickBot="1" x14ac:dyDescent="0.3">
      <c r="F95" s="85" t="s">
        <v>228</v>
      </c>
      <c r="G95" s="167" t="s">
        <v>231</v>
      </c>
      <c r="H95" s="164"/>
      <c r="I95" s="165" t="s">
        <v>164</v>
      </c>
      <c r="J95" s="12"/>
      <c r="L95" s="173" t="s">
        <v>173</v>
      </c>
      <c r="R95" s="28"/>
      <c r="W95" s="79" t="s">
        <v>250</v>
      </c>
      <c r="X95" s="66"/>
      <c r="Y95" s="66"/>
      <c r="Z95" s="66"/>
      <c r="AA95" s="66"/>
      <c r="AB95" s="66"/>
      <c r="AC95" s="66"/>
      <c r="AD95" s="66"/>
    </row>
    <row r="96" spans="1:49" x14ac:dyDescent="0.25">
      <c r="A96" s="123" t="s">
        <v>56</v>
      </c>
      <c r="B96" s="17" t="s">
        <v>0</v>
      </c>
      <c r="C96" s="20" t="s">
        <v>3</v>
      </c>
      <c r="D96" s="20" t="s">
        <v>1</v>
      </c>
      <c r="E96" s="12" t="s">
        <v>4</v>
      </c>
      <c r="F96" s="85" t="s">
        <v>229</v>
      </c>
      <c r="G96" s="172" t="s">
        <v>165</v>
      </c>
      <c r="H96" s="166"/>
      <c r="I96" s="6" t="s">
        <v>166</v>
      </c>
      <c r="J96" s="167"/>
      <c r="L96" s="97" t="s">
        <v>220</v>
      </c>
    </row>
    <row r="97" spans="1:14" x14ac:dyDescent="0.25">
      <c r="A97" t="s">
        <v>35</v>
      </c>
      <c r="B97" s="18" t="s">
        <v>68</v>
      </c>
      <c r="C97" s="50">
        <v>5</v>
      </c>
      <c r="D97" s="5" t="s">
        <v>2</v>
      </c>
      <c r="E97" s="48">
        <f>$I$101*G97</f>
        <v>3.7800010584002961</v>
      </c>
      <c r="F97" s="5">
        <v>3</v>
      </c>
      <c r="G97" s="163">
        <v>3</v>
      </c>
      <c r="H97" s="166"/>
      <c r="I97" s="6"/>
      <c r="J97" s="167"/>
    </row>
    <row r="98" spans="1:14" x14ac:dyDescent="0.25">
      <c r="A98" t="s">
        <v>36</v>
      </c>
      <c r="B98" s="18" t="s">
        <v>64</v>
      </c>
      <c r="C98" s="50">
        <v>15</v>
      </c>
      <c r="D98" s="5" t="s">
        <v>2</v>
      </c>
      <c r="E98" s="48">
        <f t="shared" ref="E98:E101" si="67">$I$101*G98</f>
        <v>9.7146027200887612</v>
      </c>
      <c r="F98" s="5">
        <v>7.4</v>
      </c>
      <c r="G98" s="5">
        <v>7.71</v>
      </c>
      <c r="H98" s="166"/>
      <c r="I98" s="171">
        <v>27.77777</v>
      </c>
      <c r="J98" s="167" t="s">
        <v>167</v>
      </c>
    </row>
    <row r="99" spans="1:14" x14ac:dyDescent="0.25">
      <c r="A99" t="s">
        <v>37</v>
      </c>
      <c r="B99" s="18" t="s">
        <v>65</v>
      </c>
      <c r="C99" s="50">
        <v>25</v>
      </c>
      <c r="D99" s="5" t="s">
        <v>2</v>
      </c>
      <c r="E99" s="48">
        <f t="shared" si="67"/>
        <v>23.247006509161821</v>
      </c>
      <c r="F99" s="5">
        <v>20.21</v>
      </c>
      <c r="G99" s="5">
        <v>18.45</v>
      </c>
      <c r="H99" s="166"/>
      <c r="I99" s="6">
        <v>35</v>
      </c>
      <c r="J99" s="167" t="s">
        <v>168</v>
      </c>
    </row>
    <row r="100" spans="1:14" x14ac:dyDescent="0.25">
      <c r="A100" t="s">
        <v>38</v>
      </c>
      <c r="B100" s="107" t="s">
        <v>232</v>
      </c>
      <c r="C100" s="50">
        <v>30</v>
      </c>
      <c r="D100" s="5" t="s">
        <v>2</v>
      </c>
      <c r="E100" s="48">
        <f t="shared" si="67"/>
        <v>38.896210890939045</v>
      </c>
      <c r="F100" s="5">
        <v>28.71</v>
      </c>
      <c r="G100" s="5">
        <v>30.87</v>
      </c>
      <c r="H100" s="166"/>
      <c r="I100" s="171">
        <v>0.79365057142857143</v>
      </c>
      <c r="J100" s="167" t="s">
        <v>169</v>
      </c>
    </row>
    <row r="101" spans="1:14" ht="13.8" thickBot="1" x14ac:dyDescent="0.3">
      <c r="A101" t="s">
        <v>39</v>
      </c>
      <c r="B101" s="19" t="s">
        <v>67</v>
      </c>
      <c r="C101" s="59">
        <v>35</v>
      </c>
      <c r="D101" s="13" t="s">
        <v>2</v>
      </c>
      <c r="E101" s="196">
        <f t="shared" si="67"/>
        <v>0</v>
      </c>
      <c r="H101" s="168"/>
      <c r="I101" s="169">
        <v>1.2600003528000987</v>
      </c>
      <c r="J101" s="170" t="s">
        <v>170</v>
      </c>
    </row>
    <row r="103" spans="1:14" x14ac:dyDescent="0.25">
      <c r="A103" s="123" t="s">
        <v>105</v>
      </c>
      <c r="B103" s="14" t="s">
        <v>0</v>
      </c>
      <c r="C103" s="14" t="s">
        <v>3</v>
      </c>
      <c r="D103" s="14" t="s">
        <v>1</v>
      </c>
      <c r="E103" s="6" t="s">
        <v>4</v>
      </c>
      <c r="G103" s="38" t="s">
        <v>106</v>
      </c>
      <c r="I103" s="14"/>
      <c r="J103" s="14"/>
      <c r="K103" s="14"/>
      <c r="L103" s="6"/>
    </row>
    <row r="104" spans="1:14" x14ac:dyDescent="0.25">
      <c r="A104" t="s">
        <v>35</v>
      </c>
      <c r="B104" s="15" t="s">
        <v>68</v>
      </c>
      <c r="C104">
        <v>5</v>
      </c>
      <c r="D104" s="5" t="s">
        <v>2</v>
      </c>
      <c r="E104">
        <v>10</v>
      </c>
      <c r="G104" s="38" t="s">
        <v>116</v>
      </c>
      <c r="I104" s="15"/>
      <c r="L104" s="2"/>
    </row>
    <row r="105" spans="1:14" x14ac:dyDescent="0.25">
      <c r="A105" t="s">
        <v>36</v>
      </c>
      <c r="B105" s="15" t="s">
        <v>64</v>
      </c>
      <c r="C105">
        <v>15</v>
      </c>
      <c r="D105" s="5" t="s">
        <v>2</v>
      </c>
      <c r="E105">
        <v>15</v>
      </c>
      <c r="F105" s="7" t="s">
        <v>71</v>
      </c>
      <c r="G105" s="38" t="s">
        <v>107</v>
      </c>
      <c r="I105" s="15"/>
      <c r="L105" s="2"/>
    </row>
    <row r="106" spans="1:14" x14ac:dyDescent="0.25">
      <c r="A106" t="s">
        <v>37</v>
      </c>
      <c r="B106" s="15" t="s">
        <v>65</v>
      </c>
      <c r="C106">
        <v>25</v>
      </c>
      <c r="D106" s="5" t="s">
        <v>2</v>
      </c>
      <c r="E106">
        <v>25</v>
      </c>
      <c r="F106" s="7" t="s">
        <v>71</v>
      </c>
      <c r="G106" s="38" t="s">
        <v>108</v>
      </c>
      <c r="I106" s="15"/>
      <c r="L106" s="2"/>
    </row>
    <row r="107" spans="1:14" x14ac:dyDescent="0.25">
      <c r="A107" t="s">
        <v>38</v>
      </c>
      <c r="B107" s="15" t="s">
        <v>66</v>
      </c>
      <c r="C107">
        <v>30</v>
      </c>
      <c r="D107" s="5" t="s">
        <v>2</v>
      </c>
      <c r="E107">
        <v>35</v>
      </c>
      <c r="G107" s="38" t="s">
        <v>109</v>
      </c>
      <c r="I107" s="15"/>
      <c r="L107" s="2"/>
    </row>
    <row r="108" spans="1:14" x14ac:dyDescent="0.25">
      <c r="A108" t="s">
        <v>39</v>
      </c>
      <c r="B108" s="15" t="s">
        <v>67</v>
      </c>
      <c r="C108">
        <v>35</v>
      </c>
      <c r="D108" s="5" t="s">
        <v>2</v>
      </c>
      <c r="E108">
        <v>45</v>
      </c>
      <c r="G108" s="57" t="s">
        <v>110</v>
      </c>
      <c r="I108" s="15"/>
      <c r="L108" s="2"/>
    </row>
    <row r="109" spans="1:14" x14ac:dyDescent="0.25">
      <c r="E109" s="2"/>
    </row>
    <row r="110" spans="1:14" x14ac:dyDescent="0.25">
      <c r="A110" s="123" t="s">
        <v>126</v>
      </c>
    </row>
    <row r="111" spans="1:14" x14ac:dyDescent="0.25">
      <c r="A111" t="s">
        <v>60</v>
      </c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t="s">
        <v>61</v>
      </c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</row>
    <row r="113" spans="1:42" x14ac:dyDescent="0.25">
      <c r="A113" s="72" t="s">
        <v>148</v>
      </c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P113" s="68" t="s">
        <v>114</v>
      </c>
      <c r="Q113" s="66"/>
      <c r="R113" s="66"/>
      <c r="S113" s="66"/>
      <c r="T113" s="66"/>
      <c r="U113" s="66"/>
      <c r="V113" s="66"/>
    </row>
    <row r="114" spans="1:42" x14ac:dyDescent="0.25">
      <c r="A114" s="72" t="s">
        <v>120</v>
      </c>
      <c r="B114" s="27">
        <f>SUMPRODUCT(B90:B94,$E97:$E101)</f>
        <v>0</v>
      </c>
      <c r="C114" s="27">
        <f t="shared" ref="C114:AA114" si="68">SUMPRODUCT(C90:C94,$E97:$E101)</f>
        <v>0</v>
      </c>
      <c r="D114" s="27">
        <f t="shared" si="68"/>
        <v>0</v>
      </c>
      <c r="E114" s="27">
        <f t="shared" si="68"/>
        <v>0</v>
      </c>
      <c r="F114" s="27">
        <f t="shared" si="68"/>
        <v>0</v>
      </c>
      <c r="G114" s="27">
        <f t="shared" si="68"/>
        <v>0</v>
      </c>
      <c r="H114" s="27">
        <f t="shared" si="68"/>
        <v>0</v>
      </c>
      <c r="I114" s="27">
        <f>SUMPRODUCT(I90:I94,$E97:$E101)</f>
        <v>0</v>
      </c>
      <c r="J114" s="27">
        <f t="shared" si="68"/>
        <v>0</v>
      </c>
      <c r="K114" s="27">
        <f t="shared" si="68"/>
        <v>0</v>
      </c>
      <c r="L114" s="27">
        <f t="shared" si="68"/>
        <v>0</v>
      </c>
      <c r="M114" s="27">
        <f t="shared" si="68"/>
        <v>0</v>
      </c>
      <c r="N114" s="27">
        <f t="shared" si="68"/>
        <v>0</v>
      </c>
      <c r="O114" s="27">
        <f t="shared" si="68"/>
        <v>0</v>
      </c>
      <c r="P114" s="27">
        <f t="shared" si="68"/>
        <v>0</v>
      </c>
      <c r="Q114" s="27">
        <f t="shared" si="68"/>
        <v>0</v>
      </c>
      <c r="R114" s="27">
        <f t="shared" si="68"/>
        <v>0</v>
      </c>
      <c r="S114" s="27">
        <f t="shared" si="68"/>
        <v>1295.0066805218705</v>
      </c>
      <c r="T114" s="27">
        <f t="shared" si="68"/>
        <v>0</v>
      </c>
      <c r="U114" s="27">
        <f t="shared" si="68"/>
        <v>0</v>
      </c>
      <c r="V114" s="27">
        <f t="shared" si="68"/>
        <v>0</v>
      </c>
      <c r="W114" s="27">
        <f t="shared" si="68"/>
        <v>0</v>
      </c>
      <c r="X114" s="27">
        <f t="shared" si="68"/>
        <v>0</v>
      </c>
      <c r="Y114" s="27">
        <f t="shared" si="68"/>
        <v>0</v>
      </c>
      <c r="Z114" s="27">
        <f t="shared" si="68"/>
        <v>0</v>
      </c>
      <c r="AA114" s="27">
        <f t="shared" si="68"/>
        <v>0</v>
      </c>
      <c r="AB114" s="27">
        <f t="shared" ref="AB114:AP114" si="69">SUMPRODUCT(AB90:AB94,$E97:$E101)</f>
        <v>0</v>
      </c>
      <c r="AC114" s="27">
        <f t="shared" si="69"/>
        <v>0</v>
      </c>
      <c r="AD114" s="27">
        <f t="shared" si="69"/>
        <v>0</v>
      </c>
      <c r="AE114" s="27">
        <f t="shared" si="69"/>
        <v>0</v>
      </c>
      <c r="AF114" s="27">
        <f t="shared" si="69"/>
        <v>0</v>
      </c>
      <c r="AG114" s="27">
        <f t="shared" si="69"/>
        <v>0</v>
      </c>
      <c r="AH114" s="27">
        <f t="shared" si="69"/>
        <v>0</v>
      </c>
      <c r="AI114" s="27">
        <f t="shared" si="69"/>
        <v>0</v>
      </c>
      <c r="AJ114" s="27">
        <f t="shared" si="69"/>
        <v>0</v>
      </c>
      <c r="AK114" s="27">
        <f t="shared" si="69"/>
        <v>0</v>
      </c>
      <c r="AL114" s="27">
        <f t="shared" si="69"/>
        <v>0</v>
      </c>
      <c r="AM114" s="27">
        <f t="shared" si="69"/>
        <v>0</v>
      </c>
      <c r="AN114" s="27">
        <f t="shared" si="69"/>
        <v>0</v>
      </c>
      <c r="AO114" s="27">
        <f t="shared" si="69"/>
        <v>0</v>
      </c>
      <c r="AP114" s="27">
        <f t="shared" si="69"/>
        <v>8738.8943014504111</v>
      </c>
    </row>
    <row r="115" spans="1:42" x14ac:dyDescent="0.25">
      <c r="A115" t="s">
        <v>62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42" x14ac:dyDescent="0.2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P116" s="68" t="s">
        <v>114</v>
      </c>
      <c r="Q116" s="66"/>
      <c r="R116" s="66"/>
      <c r="S116" s="66"/>
      <c r="T116" s="66"/>
      <c r="U116" s="66"/>
      <c r="V116" s="66"/>
    </row>
    <row r="117" spans="1:42" x14ac:dyDescent="0.25">
      <c r="A117" s="123" t="s">
        <v>149</v>
      </c>
      <c r="B117" s="27">
        <f t="shared" ref="B117:AA117" si="70">-SUM(B74:B82)+SUM(B111:B115)</f>
        <v>-1020.43634</v>
      </c>
      <c r="C117" s="27">
        <f t="shared" si="70"/>
        <v>-122.95</v>
      </c>
      <c r="D117" s="27">
        <f t="shared" si="70"/>
        <v>-25</v>
      </c>
      <c r="E117" s="27">
        <f t="shared" si="70"/>
        <v>-25</v>
      </c>
      <c r="F117" s="27">
        <f t="shared" si="70"/>
        <v>-25</v>
      </c>
      <c r="G117" s="27">
        <f t="shared" si="70"/>
        <v>-25</v>
      </c>
      <c r="H117" s="27">
        <f t="shared" si="70"/>
        <v>-25</v>
      </c>
      <c r="I117" s="27">
        <f t="shared" si="70"/>
        <v>-25</v>
      </c>
      <c r="J117" s="27">
        <f t="shared" si="70"/>
        <v>-25</v>
      </c>
      <c r="K117" s="27">
        <f t="shared" si="70"/>
        <v>-25</v>
      </c>
      <c r="L117" s="27">
        <f t="shared" si="70"/>
        <v>-25</v>
      </c>
      <c r="M117" s="27">
        <f t="shared" si="70"/>
        <v>-25</v>
      </c>
      <c r="N117" s="27">
        <f t="shared" si="70"/>
        <v>-25</v>
      </c>
      <c r="O117" s="27">
        <f t="shared" si="70"/>
        <v>-25</v>
      </c>
      <c r="P117" s="27">
        <f t="shared" si="70"/>
        <v>-25</v>
      </c>
      <c r="Q117" s="27">
        <f t="shared" si="70"/>
        <v>-25</v>
      </c>
      <c r="R117" s="27">
        <f t="shared" si="70"/>
        <v>-25</v>
      </c>
      <c r="S117" s="27">
        <f t="shared" si="70"/>
        <v>1269.0366805218705</v>
      </c>
      <c r="T117" s="27">
        <f t="shared" si="70"/>
        <v>-25</v>
      </c>
      <c r="U117" s="27">
        <f t="shared" si="70"/>
        <v>-25</v>
      </c>
      <c r="V117" s="27">
        <f t="shared" si="70"/>
        <v>-25</v>
      </c>
      <c r="W117" s="27">
        <f t="shared" si="70"/>
        <v>-25</v>
      </c>
      <c r="X117" s="27">
        <f t="shared" si="70"/>
        <v>-25</v>
      </c>
      <c r="Y117" s="27">
        <f t="shared" si="70"/>
        <v>-25</v>
      </c>
      <c r="Z117" s="27">
        <f t="shared" si="70"/>
        <v>-25</v>
      </c>
      <c r="AA117" s="27">
        <f t="shared" si="70"/>
        <v>-25</v>
      </c>
      <c r="AB117" s="27">
        <f t="shared" ref="AB117:AP117" si="71">-SUM(AB74:AB82)+SUM(AB111:AB115)</f>
        <v>-25</v>
      </c>
      <c r="AC117" s="27">
        <f t="shared" si="71"/>
        <v>-25</v>
      </c>
      <c r="AD117" s="27">
        <f t="shared" si="71"/>
        <v>-25</v>
      </c>
      <c r="AE117" s="27">
        <f t="shared" si="71"/>
        <v>-25</v>
      </c>
      <c r="AF117" s="27">
        <f t="shared" si="71"/>
        <v>-25</v>
      </c>
      <c r="AG117" s="27">
        <f t="shared" si="71"/>
        <v>-25</v>
      </c>
      <c r="AH117" s="27">
        <f t="shared" si="71"/>
        <v>-25</v>
      </c>
      <c r="AI117" s="27">
        <f t="shared" si="71"/>
        <v>-25</v>
      </c>
      <c r="AJ117" s="27">
        <f t="shared" si="71"/>
        <v>-25</v>
      </c>
      <c r="AK117" s="27">
        <f t="shared" si="71"/>
        <v>-25</v>
      </c>
      <c r="AL117" s="27">
        <f t="shared" si="71"/>
        <v>-25</v>
      </c>
      <c r="AM117" s="27">
        <f t="shared" si="71"/>
        <v>-25</v>
      </c>
      <c r="AN117" s="27">
        <f t="shared" si="71"/>
        <v>-25</v>
      </c>
      <c r="AO117" s="27">
        <f t="shared" si="71"/>
        <v>-25</v>
      </c>
      <c r="AP117" s="27">
        <f t="shared" si="71"/>
        <v>8738.8943014504111</v>
      </c>
    </row>
    <row r="118" spans="1:42" x14ac:dyDescent="0.25">
      <c r="A118" s="22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P118" s="15"/>
    </row>
    <row r="119" spans="1:42" x14ac:dyDescent="0.25">
      <c r="A119" s="123" t="s">
        <v>125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P119" s="68" t="s">
        <v>114</v>
      </c>
      <c r="Q119" s="66"/>
      <c r="R119" s="66"/>
      <c r="S119" s="66"/>
      <c r="T119" s="66"/>
      <c r="U119" s="66"/>
      <c r="V119" s="66"/>
    </row>
    <row r="120" spans="1:42" x14ac:dyDescent="0.25">
      <c r="A120" s="4" t="s">
        <v>40</v>
      </c>
      <c r="B120" s="27">
        <f>SUM(B74:B82)</f>
        <v>1020.43634</v>
      </c>
      <c r="C120" s="27">
        <f t="shared" ref="C120:N120" si="72">SUM(C74:C82)</f>
        <v>122.95</v>
      </c>
      <c r="D120" s="27">
        <f t="shared" si="72"/>
        <v>25</v>
      </c>
      <c r="E120" s="27">
        <f t="shared" si="72"/>
        <v>25</v>
      </c>
      <c r="F120" s="27">
        <f t="shared" si="72"/>
        <v>25</v>
      </c>
      <c r="G120" s="27">
        <f t="shared" si="72"/>
        <v>25</v>
      </c>
      <c r="H120" s="27">
        <f t="shared" si="72"/>
        <v>25</v>
      </c>
      <c r="I120" s="27">
        <f t="shared" si="72"/>
        <v>25</v>
      </c>
      <c r="J120" s="27">
        <f t="shared" si="72"/>
        <v>25</v>
      </c>
      <c r="K120" s="27">
        <f t="shared" si="72"/>
        <v>25</v>
      </c>
      <c r="L120" s="27">
        <f t="shared" si="72"/>
        <v>25</v>
      </c>
      <c r="M120" s="27">
        <f t="shared" si="72"/>
        <v>25</v>
      </c>
      <c r="N120" s="27">
        <f t="shared" si="72"/>
        <v>25</v>
      </c>
      <c r="O120" s="27">
        <f t="shared" ref="O120:AA120" si="73">SUM(O74:O82)</f>
        <v>25</v>
      </c>
      <c r="P120" s="27">
        <f t="shared" si="73"/>
        <v>25</v>
      </c>
      <c r="Q120" s="27">
        <f t="shared" si="73"/>
        <v>25</v>
      </c>
      <c r="R120" s="27">
        <f t="shared" si="73"/>
        <v>25</v>
      </c>
      <c r="S120" s="27">
        <f t="shared" si="73"/>
        <v>25.97</v>
      </c>
      <c r="T120" s="27">
        <f t="shared" si="73"/>
        <v>25</v>
      </c>
      <c r="U120" s="27">
        <f t="shared" si="73"/>
        <v>25</v>
      </c>
      <c r="V120" s="27">
        <f t="shared" si="73"/>
        <v>25</v>
      </c>
      <c r="W120" s="27">
        <f t="shared" si="73"/>
        <v>25</v>
      </c>
      <c r="X120" s="27">
        <f t="shared" si="73"/>
        <v>25</v>
      </c>
      <c r="Y120" s="27">
        <f t="shared" si="73"/>
        <v>25</v>
      </c>
      <c r="Z120" s="27">
        <f t="shared" si="73"/>
        <v>25</v>
      </c>
      <c r="AA120" s="27">
        <f t="shared" si="73"/>
        <v>25</v>
      </c>
      <c r="AB120" s="27">
        <f t="shared" ref="AB120:AP120" si="74">SUM(AB74:AB82)</f>
        <v>25</v>
      </c>
      <c r="AC120" s="27">
        <f t="shared" si="74"/>
        <v>25</v>
      </c>
      <c r="AD120" s="27">
        <f t="shared" si="74"/>
        <v>25</v>
      </c>
      <c r="AE120" s="27">
        <f t="shared" si="74"/>
        <v>25</v>
      </c>
      <c r="AF120" s="27">
        <f t="shared" si="74"/>
        <v>25</v>
      </c>
      <c r="AG120" s="27">
        <f t="shared" si="74"/>
        <v>25</v>
      </c>
      <c r="AH120" s="27">
        <f t="shared" si="74"/>
        <v>25</v>
      </c>
      <c r="AI120" s="27">
        <f t="shared" si="74"/>
        <v>25</v>
      </c>
      <c r="AJ120" s="27">
        <f t="shared" si="74"/>
        <v>25</v>
      </c>
      <c r="AK120" s="27">
        <f t="shared" si="74"/>
        <v>25</v>
      </c>
      <c r="AL120" s="27">
        <f t="shared" si="74"/>
        <v>25</v>
      </c>
      <c r="AM120" s="27">
        <f t="shared" si="74"/>
        <v>25</v>
      </c>
      <c r="AN120" s="27">
        <f t="shared" si="74"/>
        <v>25</v>
      </c>
      <c r="AO120" s="27">
        <f t="shared" si="74"/>
        <v>25</v>
      </c>
      <c r="AP120" s="27">
        <f t="shared" si="74"/>
        <v>0</v>
      </c>
    </row>
    <row r="121" spans="1:42" x14ac:dyDescent="0.25">
      <c r="A121" s="4" t="s">
        <v>41</v>
      </c>
      <c r="B121" s="27">
        <f t="shared" ref="B121:N121" si="75">+B120/(1+$B$15)^B60</f>
        <v>1020.43634</v>
      </c>
      <c r="C121" s="27">
        <f t="shared" si="75"/>
        <v>118.22115384615384</v>
      </c>
      <c r="D121" s="27">
        <f t="shared" si="75"/>
        <v>23.113905325443785</v>
      </c>
      <c r="E121" s="27">
        <f t="shared" si="75"/>
        <v>22.224908966772869</v>
      </c>
      <c r="F121" s="27">
        <f t="shared" si="75"/>
        <v>21.370104775743144</v>
      </c>
      <c r="G121" s="27">
        <f t="shared" si="75"/>
        <v>20.54817766898379</v>
      </c>
      <c r="H121" s="27">
        <f t="shared" si="75"/>
        <v>19.757863143253644</v>
      </c>
      <c r="I121" s="27">
        <f t="shared" si="75"/>
        <v>18.997945330051582</v>
      </c>
      <c r="J121" s="27">
        <f t="shared" si="75"/>
        <v>18.267255125049594</v>
      </c>
      <c r="K121" s="27">
        <f t="shared" si="75"/>
        <v>17.564668389470761</v>
      </c>
      <c r="L121" s="27">
        <f t="shared" si="75"/>
        <v>16.889104220644963</v>
      </c>
      <c r="M121" s="27">
        <f t="shared" si="75"/>
        <v>16.239523289081696</v>
      </c>
      <c r="N121" s="27">
        <f t="shared" si="75"/>
        <v>15.614926239501628</v>
      </c>
      <c r="O121" s="27">
        <f t="shared" ref="O121:AA121" si="76">+O120/(1+$B$15)^O60</f>
        <v>15.01435215336695</v>
      </c>
      <c r="P121" s="27">
        <f t="shared" si="76"/>
        <v>14.436877070545144</v>
      </c>
      <c r="Q121" s="27">
        <f t="shared" si="76"/>
        <v>13.881612567831871</v>
      </c>
      <c r="R121" s="27">
        <f t="shared" si="76"/>
        <v>13.347704392146026</v>
      </c>
      <c r="S121" s="27">
        <f t="shared" si="76"/>
        <v>13.332303194770473</v>
      </c>
      <c r="T121" s="27">
        <f t="shared" si="76"/>
        <v>12.340703025282936</v>
      </c>
      <c r="U121" s="27">
        <f t="shared" si="76"/>
        <v>11.866060601233594</v>
      </c>
      <c r="V121" s="27">
        <f t="shared" si="76"/>
        <v>11.409673655032302</v>
      </c>
      <c r="W121" s="27">
        <f t="shared" si="76"/>
        <v>10.970840052915673</v>
      </c>
      <c r="X121" s="27">
        <f t="shared" si="76"/>
        <v>10.548884666265069</v>
      </c>
      <c r="Y121" s="27">
        <f t="shared" si="76"/>
        <v>10.143158332947182</v>
      </c>
      <c r="Z121" s="27">
        <f t="shared" si="76"/>
        <v>9.7530368586030605</v>
      </c>
      <c r="AA121" s="27">
        <f t="shared" si="76"/>
        <v>9.3779200563490939</v>
      </c>
      <c r="AB121" s="27">
        <f t="shared" ref="AB121:AP121" si="77">+AB120/(1+$B$15)^AB60</f>
        <v>9.0172308234125911</v>
      </c>
      <c r="AC121" s="27">
        <f t="shared" si="77"/>
        <v>8.6704142532813382</v>
      </c>
      <c r="AD121" s="27">
        <f t="shared" si="77"/>
        <v>8.3369367820012847</v>
      </c>
      <c r="AE121" s="27">
        <f t="shared" si="77"/>
        <v>8.016285367308928</v>
      </c>
      <c r="AF121" s="27">
        <f t="shared" si="77"/>
        <v>7.7079666993355076</v>
      </c>
      <c r="AG121" s="27">
        <f t="shared" si="77"/>
        <v>7.4115064416687577</v>
      </c>
      <c r="AH121" s="27">
        <f t="shared" si="77"/>
        <v>7.1264485016045738</v>
      </c>
      <c r="AI121" s="27">
        <f t="shared" si="77"/>
        <v>6.8523543284659363</v>
      </c>
      <c r="AJ121" s="27">
        <f t="shared" si="77"/>
        <v>6.5888022389095537</v>
      </c>
      <c r="AK121" s="27">
        <f t="shared" si="77"/>
        <v>6.3353867681822624</v>
      </c>
      <c r="AL121" s="27">
        <f t="shared" si="77"/>
        <v>6.091718046329099</v>
      </c>
      <c r="AM121" s="27">
        <f t="shared" si="77"/>
        <v>5.8574211983933626</v>
      </c>
      <c r="AN121" s="27">
        <f t="shared" si="77"/>
        <v>5.6321357676859263</v>
      </c>
      <c r="AO121" s="27">
        <f t="shared" si="77"/>
        <v>5.4155151612364687</v>
      </c>
      <c r="AP121" s="27">
        <f t="shared" si="77"/>
        <v>0</v>
      </c>
    </row>
    <row r="122" spans="1:42" x14ac:dyDescent="0.25">
      <c r="A122" s="4" t="s">
        <v>46</v>
      </c>
      <c r="B122" s="51">
        <f>SUM(B120:AP120)</f>
        <v>2094.3563400000003</v>
      </c>
      <c r="C122" s="36" t="s">
        <v>71</v>
      </c>
      <c r="D122" s="49" t="s">
        <v>157</v>
      </c>
      <c r="E122" s="51"/>
      <c r="F122" s="51"/>
      <c r="G122" s="51"/>
      <c r="H122" s="51"/>
      <c r="I122" s="51"/>
      <c r="J122" s="51"/>
      <c r="K122" s="51"/>
      <c r="L122" s="51"/>
      <c r="M122" s="51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</row>
    <row r="123" spans="1:42" x14ac:dyDescent="0.25">
      <c r="A123" s="4" t="s">
        <v>42</v>
      </c>
      <c r="B123" s="51">
        <f>SUM(B121:AP121)</f>
        <v>1604.7291253252552</v>
      </c>
      <c r="C123" s="36" t="s">
        <v>70</v>
      </c>
      <c r="D123" s="49" t="s">
        <v>158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1:42" x14ac:dyDescent="0.25">
      <c r="A124" s="1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1:42" x14ac:dyDescent="0.25">
      <c r="A125" s="123" t="s">
        <v>124</v>
      </c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68" t="s">
        <v>114</v>
      </c>
      <c r="Q125" s="51"/>
      <c r="R125" s="51"/>
      <c r="S125" s="51"/>
      <c r="T125" s="51"/>
      <c r="U125" s="51"/>
      <c r="V125" s="51"/>
      <c r="W125" s="27"/>
      <c r="X125" s="27"/>
      <c r="Y125" s="27"/>
      <c r="Z125" s="27"/>
      <c r="AA125" s="27"/>
      <c r="AB125" s="27"/>
      <c r="AC125" s="27"/>
      <c r="AD125" s="27"/>
    </row>
    <row r="126" spans="1:42" x14ac:dyDescent="0.25">
      <c r="A126" s="4" t="s">
        <v>43</v>
      </c>
      <c r="B126" s="27">
        <f>SUM(B111:B115)</f>
        <v>0</v>
      </c>
      <c r="C126" s="27">
        <f t="shared" ref="C126:N126" si="78">SUM(C111:C115)</f>
        <v>0</v>
      </c>
      <c r="D126" s="27">
        <f t="shared" si="78"/>
        <v>0</v>
      </c>
      <c r="E126" s="27">
        <f t="shared" si="78"/>
        <v>0</v>
      </c>
      <c r="F126" s="27">
        <f t="shared" si="78"/>
        <v>0</v>
      </c>
      <c r="G126" s="27">
        <f t="shared" si="78"/>
        <v>0</v>
      </c>
      <c r="H126" s="27">
        <f t="shared" si="78"/>
        <v>0</v>
      </c>
      <c r="I126" s="27">
        <f t="shared" si="78"/>
        <v>0</v>
      </c>
      <c r="J126" s="27">
        <f t="shared" si="78"/>
        <v>0</v>
      </c>
      <c r="K126" s="27">
        <f t="shared" si="78"/>
        <v>0</v>
      </c>
      <c r="L126" s="27">
        <f t="shared" si="78"/>
        <v>0</v>
      </c>
      <c r="M126" s="27">
        <f t="shared" si="78"/>
        <v>0</v>
      </c>
      <c r="N126" s="27">
        <f t="shared" si="78"/>
        <v>0</v>
      </c>
      <c r="O126" s="27">
        <f t="shared" ref="O126:AA126" si="79">SUM(O111:O115)</f>
        <v>0</v>
      </c>
      <c r="P126" s="27">
        <f t="shared" si="79"/>
        <v>0</v>
      </c>
      <c r="Q126" s="27">
        <f t="shared" si="79"/>
        <v>0</v>
      </c>
      <c r="R126" s="27">
        <f t="shared" si="79"/>
        <v>0</v>
      </c>
      <c r="S126" s="27">
        <f t="shared" si="79"/>
        <v>1295.0066805218705</v>
      </c>
      <c r="T126" s="27">
        <f t="shared" si="79"/>
        <v>0</v>
      </c>
      <c r="U126" s="27">
        <f t="shared" si="79"/>
        <v>0</v>
      </c>
      <c r="V126" s="27">
        <f t="shared" si="79"/>
        <v>0</v>
      </c>
      <c r="W126" s="27">
        <f t="shared" si="79"/>
        <v>0</v>
      </c>
      <c r="X126" s="27">
        <f t="shared" si="79"/>
        <v>0</v>
      </c>
      <c r="Y126" s="27">
        <f t="shared" si="79"/>
        <v>0</v>
      </c>
      <c r="Z126" s="27">
        <f t="shared" si="79"/>
        <v>0</v>
      </c>
      <c r="AA126" s="27">
        <f t="shared" si="79"/>
        <v>0</v>
      </c>
      <c r="AB126" s="27">
        <f t="shared" ref="AB126:AP126" si="80">SUM(AB111:AB115)</f>
        <v>0</v>
      </c>
      <c r="AC126" s="27">
        <f t="shared" si="80"/>
        <v>0</v>
      </c>
      <c r="AD126" s="27">
        <f t="shared" si="80"/>
        <v>0</v>
      </c>
      <c r="AE126" s="27">
        <f t="shared" si="80"/>
        <v>0</v>
      </c>
      <c r="AF126" s="27">
        <f t="shared" si="80"/>
        <v>0</v>
      </c>
      <c r="AG126" s="27">
        <f t="shared" si="80"/>
        <v>0</v>
      </c>
      <c r="AH126" s="27">
        <f t="shared" si="80"/>
        <v>0</v>
      </c>
      <c r="AI126" s="27">
        <f t="shared" si="80"/>
        <v>0</v>
      </c>
      <c r="AJ126" s="27">
        <f t="shared" si="80"/>
        <v>0</v>
      </c>
      <c r="AK126" s="27">
        <f t="shared" si="80"/>
        <v>0</v>
      </c>
      <c r="AL126" s="27">
        <f t="shared" si="80"/>
        <v>0</v>
      </c>
      <c r="AM126" s="27">
        <f t="shared" si="80"/>
        <v>0</v>
      </c>
      <c r="AN126" s="27">
        <f t="shared" si="80"/>
        <v>0</v>
      </c>
      <c r="AO126" s="27">
        <f t="shared" si="80"/>
        <v>0</v>
      </c>
      <c r="AP126" s="27">
        <f t="shared" si="80"/>
        <v>8738.8943014504111</v>
      </c>
    </row>
    <row r="127" spans="1:42" x14ac:dyDescent="0.25">
      <c r="A127" s="4" t="s">
        <v>44</v>
      </c>
      <c r="B127" s="27">
        <f t="shared" ref="B127:N127" si="81">+B126/(1+$B$15)^B60</f>
        <v>0</v>
      </c>
      <c r="C127" s="27">
        <f t="shared" si="81"/>
        <v>0</v>
      </c>
      <c r="D127" s="27">
        <f t="shared" si="81"/>
        <v>0</v>
      </c>
      <c r="E127" s="27">
        <f t="shared" si="81"/>
        <v>0</v>
      </c>
      <c r="F127" s="27">
        <f t="shared" si="81"/>
        <v>0</v>
      </c>
      <c r="G127" s="27">
        <f t="shared" si="81"/>
        <v>0</v>
      </c>
      <c r="H127" s="27">
        <f t="shared" si="81"/>
        <v>0</v>
      </c>
      <c r="I127" s="27">
        <f t="shared" si="81"/>
        <v>0</v>
      </c>
      <c r="J127" s="27">
        <f t="shared" si="81"/>
        <v>0</v>
      </c>
      <c r="K127" s="27">
        <f t="shared" si="81"/>
        <v>0</v>
      </c>
      <c r="L127" s="27">
        <f t="shared" si="81"/>
        <v>0</v>
      </c>
      <c r="M127" s="27">
        <f t="shared" si="81"/>
        <v>0</v>
      </c>
      <c r="N127" s="27">
        <f t="shared" si="81"/>
        <v>0</v>
      </c>
      <c r="O127" s="27">
        <f t="shared" ref="O127:AA127" si="82">+O126/(1+$B$15)^O60</f>
        <v>0</v>
      </c>
      <c r="P127" s="27">
        <f t="shared" si="82"/>
        <v>0</v>
      </c>
      <c r="Q127" s="27">
        <f t="shared" si="82"/>
        <v>0</v>
      </c>
      <c r="R127" s="27">
        <f t="shared" si="82"/>
        <v>0</v>
      </c>
      <c r="S127" s="27">
        <f t="shared" si="82"/>
        <v>664.82178297923906</v>
      </c>
      <c r="T127" s="27">
        <f t="shared" si="82"/>
        <v>0</v>
      </c>
      <c r="U127" s="27">
        <f t="shared" si="82"/>
        <v>0</v>
      </c>
      <c r="V127" s="27">
        <f t="shared" si="82"/>
        <v>0</v>
      </c>
      <c r="W127" s="27">
        <f t="shared" si="82"/>
        <v>0</v>
      </c>
      <c r="X127" s="27">
        <f t="shared" si="82"/>
        <v>0</v>
      </c>
      <c r="Y127" s="27">
        <f t="shared" si="82"/>
        <v>0</v>
      </c>
      <c r="Z127" s="27">
        <f t="shared" si="82"/>
        <v>0</v>
      </c>
      <c r="AA127" s="27">
        <f t="shared" si="82"/>
        <v>0</v>
      </c>
      <c r="AB127" s="27">
        <f t="shared" ref="AB127:AP127" si="83">+AB126/(1+$B$15)^AB60</f>
        <v>0</v>
      </c>
      <c r="AC127" s="27">
        <f t="shared" si="83"/>
        <v>0</v>
      </c>
      <c r="AD127" s="27">
        <f t="shared" si="83"/>
        <v>0</v>
      </c>
      <c r="AE127" s="27">
        <f t="shared" si="83"/>
        <v>0</v>
      </c>
      <c r="AF127" s="27">
        <f t="shared" si="83"/>
        <v>0</v>
      </c>
      <c r="AG127" s="27">
        <f t="shared" si="83"/>
        <v>0</v>
      </c>
      <c r="AH127" s="27">
        <f t="shared" si="83"/>
        <v>0</v>
      </c>
      <c r="AI127" s="27">
        <f t="shared" si="83"/>
        <v>0</v>
      </c>
      <c r="AJ127" s="27">
        <f t="shared" si="83"/>
        <v>0</v>
      </c>
      <c r="AK127" s="27">
        <f t="shared" si="83"/>
        <v>0</v>
      </c>
      <c r="AL127" s="27">
        <f t="shared" si="83"/>
        <v>0</v>
      </c>
      <c r="AM127" s="27">
        <f t="shared" si="83"/>
        <v>0</v>
      </c>
      <c r="AN127" s="27">
        <f t="shared" si="83"/>
        <v>0</v>
      </c>
      <c r="AO127" s="27">
        <f t="shared" si="83"/>
        <v>0</v>
      </c>
      <c r="AP127" s="27">
        <f t="shared" si="83"/>
        <v>1820.2159454595255</v>
      </c>
    </row>
    <row r="128" spans="1:42" x14ac:dyDescent="0.25">
      <c r="A128" s="4" t="s">
        <v>47</v>
      </c>
      <c r="B128" s="51">
        <f>SUM(B126:AP126)</f>
        <v>10033.900981972281</v>
      </c>
      <c r="C128" s="36" t="s">
        <v>71</v>
      </c>
      <c r="D128" s="49" t="s">
        <v>159</v>
      </c>
      <c r="E128" s="51"/>
      <c r="F128" s="51"/>
      <c r="G128" s="51"/>
      <c r="H128" s="51"/>
      <c r="I128" s="51"/>
      <c r="J128" s="51"/>
      <c r="K128" s="51"/>
      <c r="L128" s="51"/>
      <c r="M128" s="51"/>
      <c r="N128" s="27"/>
    </row>
    <row r="129" spans="1:16" x14ac:dyDescent="0.25">
      <c r="A129" s="4" t="s">
        <v>48</v>
      </c>
      <c r="B129" s="51">
        <f>SUM(B127:AP127)</f>
        <v>2485.0377284387646</v>
      </c>
      <c r="C129" s="36" t="s">
        <v>70</v>
      </c>
      <c r="D129" s="49" t="s">
        <v>160</v>
      </c>
      <c r="E129" s="51"/>
      <c r="F129" s="51"/>
      <c r="G129" s="51"/>
      <c r="H129" s="51"/>
      <c r="I129" s="51"/>
      <c r="J129" s="51"/>
      <c r="K129" s="51"/>
      <c r="L129" s="51"/>
      <c r="M129" s="51"/>
      <c r="N129" s="27"/>
    </row>
    <row r="130" spans="1:16" x14ac:dyDescent="0.25">
      <c r="A130" s="4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</row>
    <row r="131" spans="1:16" x14ac:dyDescent="0.25">
      <c r="A131" s="123" t="s">
        <v>51</v>
      </c>
      <c r="B131" s="51" t="s">
        <v>248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</row>
    <row r="132" spans="1:16" ht="13.8" thickBot="1" x14ac:dyDescent="0.3">
      <c r="A132" s="67" t="s">
        <v>256</v>
      </c>
      <c r="B132" s="201">
        <v>0.04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 spans="1:16" x14ac:dyDescent="0.25">
      <c r="A133" s="91" t="s">
        <v>87</v>
      </c>
      <c r="B133" s="92">
        <f>B129-B123</f>
        <v>880.30860311350943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1:16" x14ac:dyDescent="0.25">
      <c r="A134" s="93" t="s">
        <v>91</v>
      </c>
      <c r="B134" s="94">
        <f>B133+B133/((1+B15)^(B9)-1)</f>
        <v>1111.9065577900603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</row>
    <row r="135" spans="1:16" x14ac:dyDescent="0.25">
      <c r="A135" s="93" t="s">
        <v>92</v>
      </c>
      <c r="B135" s="94">
        <f>B134*B15</f>
        <v>44.476262311602412</v>
      </c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6" x14ac:dyDescent="0.25">
      <c r="A136" s="93"/>
      <c r="B136" s="9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</row>
    <row r="137" spans="1:16" x14ac:dyDescent="0.25">
      <c r="A137" s="93" t="s">
        <v>97</v>
      </c>
      <c r="B137" s="94">
        <f>B129/B123</f>
        <v>1.5485714624485822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</row>
    <row r="138" spans="1:16" x14ac:dyDescent="0.25">
      <c r="A138" s="93"/>
      <c r="B138" s="1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spans="1:16" x14ac:dyDescent="0.25">
      <c r="A139" s="93" t="s">
        <v>96</v>
      </c>
      <c r="B139" s="154">
        <f>IRR(B117:AP117)</f>
        <v>5.586421692046617E-2</v>
      </c>
      <c r="C139" s="32" t="s">
        <v>71</v>
      </c>
      <c r="D139" s="49" t="s">
        <v>69</v>
      </c>
      <c r="E139" s="52"/>
      <c r="F139" s="52"/>
      <c r="G139" s="52"/>
      <c r="H139" s="52"/>
      <c r="I139" s="52"/>
      <c r="J139" s="52"/>
      <c r="K139" s="28"/>
      <c r="L139" s="28"/>
      <c r="M139" s="28"/>
      <c r="N139" s="28"/>
    </row>
    <row r="140" spans="1:16" x14ac:dyDescent="0.25">
      <c r="A140" s="130" t="s">
        <v>123</v>
      </c>
      <c r="B140" s="129"/>
      <c r="C140" s="76" t="s">
        <v>71</v>
      </c>
      <c r="D140" s="77" t="s">
        <v>122</v>
      </c>
      <c r="E140" s="78"/>
      <c r="F140" s="52"/>
      <c r="G140" s="52"/>
      <c r="H140" s="52"/>
      <c r="I140" s="52"/>
      <c r="J140" s="52"/>
      <c r="K140" s="52"/>
      <c r="L140" s="52"/>
      <c r="M140" s="52"/>
      <c r="N140" s="52"/>
      <c r="O140" s="50"/>
      <c r="P140" s="66"/>
    </row>
    <row r="141" spans="1:16" ht="13.8" thickBot="1" x14ac:dyDescent="0.3">
      <c r="A141" s="131" t="s">
        <v>88</v>
      </c>
      <c r="B141" s="132">
        <f>SUM(B75:G80)</f>
        <v>1093.38634</v>
      </c>
      <c r="C141" s="26"/>
      <c r="D141" s="29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6" x14ac:dyDescent="0.25">
      <c r="A142" s="1"/>
      <c r="B142" s="27"/>
      <c r="C142" s="26"/>
      <c r="D142" s="29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spans="1:16" x14ac:dyDescent="0.25">
      <c r="A143" s="123" t="s">
        <v>150</v>
      </c>
      <c r="B143" s="27"/>
      <c r="C143" s="26"/>
      <c r="D143" s="158" t="s">
        <v>162</v>
      </c>
      <c r="E143" s="156"/>
      <c r="F143" s="156"/>
      <c r="G143" s="157"/>
      <c r="H143" s="157"/>
      <c r="I143" s="157"/>
      <c r="J143" s="157"/>
      <c r="K143" s="157"/>
      <c r="L143" s="28"/>
      <c r="M143" s="28"/>
      <c r="N143" s="28"/>
    </row>
    <row r="144" spans="1:16" ht="13.8" thickBot="1" x14ac:dyDescent="0.3">
      <c r="A144" s="1"/>
      <c r="B144" s="27"/>
      <c r="C144" s="26"/>
      <c r="D144" s="29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20" ht="13.8" thickBot="1" x14ac:dyDescent="0.3">
      <c r="A145" s="91" t="s">
        <v>130</v>
      </c>
      <c r="B145" s="188">
        <f>SUM(B87:AP88)</f>
        <v>434.40000000000032</v>
      </c>
      <c r="C145" s="96" t="s">
        <v>129</v>
      </c>
      <c r="D145" s="135" t="s">
        <v>152</v>
      </c>
      <c r="E145" s="133"/>
      <c r="F145" s="133"/>
      <c r="G145" s="134"/>
      <c r="H145" s="80"/>
      <c r="I145" s="150">
        <f>B123</f>
        <v>1604.7291253252552</v>
      </c>
      <c r="J145" s="28"/>
      <c r="L145" s="151" t="s">
        <v>133</v>
      </c>
      <c r="M145" s="152"/>
      <c r="N145" s="153"/>
      <c r="O145" s="98"/>
      <c r="P145" s="99"/>
      <c r="Q145" s="100"/>
      <c r="R145" s="100"/>
      <c r="S145" s="100"/>
      <c r="T145" s="101"/>
    </row>
    <row r="146" spans="1:20" x14ac:dyDescent="0.25">
      <c r="A146" s="93" t="s">
        <v>136</v>
      </c>
      <c r="B146" s="109">
        <f>B123/B145</f>
        <v>3.6941278207303268</v>
      </c>
      <c r="C146" s="96" t="s">
        <v>151</v>
      </c>
      <c r="D146" s="159" t="s">
        <v>163</v>
      </c>
      <c r="E146" s="160"/>
      <c r="F146" s="28"/>
      <c r="G146" s="28"/>
      <c r="H146" s="28"/>
      <c r="I146" s="28"/>
      <c r="J146" s="28"/>
      <c r="L146" s="18" t="s">
        <v>132</v>
      </c>
      <c r="M146" s="28"/>
      <c r="N146" s="28"/>
      <c r="O146" s="28"/>
      <c r="P146" s="5"/>
      <c r="T146" s="102"/>
    </row>
    <row r="147" spans="1:20" ht="13.8" thickBot="1" x14ac:dyDescent="0.3">
      <c r="B147" s="111"/>
      <c r="C147" s="26"/>
      <c r="D147" s="29"/>
      <c r="E147" s="28"/>
      <c r="F147" s="28"/>
      <c r="G147" s="28"/>
      <c r="H147" s="28"/>
      <c r="I147" s="28"/>
      <c r="J147" s="28"/>
      <c r="L147" s="107" t="s">
        <v>134</v>
      </c>
      <c r="M147" s="28"/>
      <c r="N147" s="28"/>
      <c r="O147" s="28"/>
      <c r="P147" s="5"/>
      <c r="T147" s="102"/>
    </row>
    <row r="148" spans="1:20" ht="13.8" thickBot="1" x14ac:dyDescent="0.3">
      <c r="A148" s="93" t="s">
        <v>135</v>
      </c>
      <c r="B148" s="119">
        <f>0.47*1000</f>
        <v>470</v>
      </c>
      <c r="C148" s="96" t="s">
        <v>129</v>
      </c>
      <c r="D148" s="143" t="s">
        <v>137</v>
      </c>
      <c r="E148" s="144"/>
      <c r="F148" s="144"/>
      <c r="G148" s="144"/>
      <c r="H148" s="112"/>
      <c r="I148" s="145"/>
      <c r="J148" s="112"/>
      <c r="K148" s="146"/>
      <c r="L148" s="103"/>
      <c r="M148" s="104"/>
      <c r="N148" s="104"/>
      <c r="O148" s="104"/>
      <c r="P148" s="13"/>
      <c r="Q148" s="105"/>
      <c r="R148" s="105"/>
      <c r="S148" s="105"/>
      <c r="T148" s="106"/>
    </row>
    <row r="149" spans="1:20" x14ac:dyDescent="0.25">
      <c r="A149" s="110"/>
      <c r="B149" s="94"/>
      <c r="C149" s="26"/>
      <c r="D149" s="140" t="s">
        <v>139</v>
      </c>
      <c r="E149" s="139"/>
      <c r="F149" s="139"/>
      <c r="G149" s="139"/>
      <c r="H149" s="137"/>
      <c r="I149" s="76"/>
      <c r="J149" s="97"/>
      <c r="K149" s="76"/>
      <c r="L149" s="117"/>
      <c r="M149" s="98"/>
      <c r="N149" s="98"/>
      <c r="O149" s="99"/>
      <c r="P149" s="101"/>
    </row>
    <row r="150" spans="1:20" x14ac:dyDescent="0.25">
      <c r="A150" s="93" t="s">
        <v>262</v>
      </c>
      <c r="B150" s="94">
        <f>B148*0.5</f>
        <v>235</v>
      </c>
      <c r="C150" s="26"/>
      <c r="D150" s="140" t="s">
        <v>140</v>
      </c>
      <c r="E150" s="139"/>
      <c r="F150" s="139"/>
      <c r="G150" s="139"/>
      <c r="H150" s="138"/>
      <c r="I150" s="23"/>
      <c r="J150" s="23"/>
      <c r="K150" s="23"/>
      <c r="L150" s="107" t="s">
        <v>138</v>
      </c>
      <c r="M150" s="28"/>
      <c r="N150" s="28"/>
      <c r="P150" s="102"/>
    </row>
    <row r="151" spans="1:20" ht="13.8" thickBot="1" x14ac:dyDescent="0.3">
      <c r="A151" s="110"/>
      <c r="B151" s="111"/>
      <c r="C151" s="26"/>
      <c r="D151" s="137" t="s">
        <v>187</v>
      </c>
      <c r="E151" s="138"/>
      <c r="F151" s="138"/>
      <c r="G151" s="80"/>
      <c r="H151" s="138"/>
      <c r="I151" s="23"/>
      <c r="J151" s="23"/>
      <c r="L151" s="118" t="s">
        <v>161</v>
      </c>
      <c r="M151" s="104"/>
      <c r="N151" s="104"/>
      <c r="O151" s="13"/>
      <c r="P151" s="106"/>
    </row>
    <row r="152" spans="1:20" x14ac:dyDescent="0.25">
      <c r="A152" s="93" t="s">
        <v>263</v>
      </c>
      <c r="B152" s="94">
        <f>3.67*B150</f>
        <v>862.44999999999993</v>
      </c>
      <c r="C152" s="26"/>
      <c r="D152" s="177" t="s">
        <v>186</v>
      </c>
      <c r="E152" s="160"/>
      <c r="F152" s="160"/>
      <c r="G152" s="160"/>
      <c r="H152" s="160"/>
      <c r="I152" s="23"/>
      <c r="J152" s="23"/>
      <c r="K152" s="23"/>
      <c r="L152" s="28"/>
      <c r="M152" s="28"/>
      <c r="N152" s="28"/>
    </row>
    <row r="153" spans="1:20" x14ac:dyDescent="0.25">
      <c r="A153" s="110"/>
      <c r="B153" s="111"/>
      <c r="C153" s="26"/>
      <c r="D153" s="177" t="s">
        <v>188</v>
      </c>
      <c r="E153" s="50"/>
      <c r="H153" s="23"/>
      <c r="I153" s="135" t="s">
        <v>131</v>
      </c>
      <c r="J153" s="138"/>
      <c r="K153" s="138"/>
      <c r="L153" s="155"/>
      <c r="M153" s="28"/>
      <c r="N153" s="28"/>
    </row>
    <row r="154" spans="1:20" x14ac:dyDescent="0.25">
      <c r="A154" s="93" t="s">
        <v>261</v>
      </c>
      <c r="B154" s="94">
        <f>B152/1000</f>
        <v>0.86244999999999994</v>
      </c>
      <c r="C154" s="96"/>
      <c r="E154" s="23"/>
      <c r="F154" s="23"/>
      <c r="G154" s="23"/>
      <c r="H154" s="23"/>
      <c r="I154" s="6"/>
      <c r="J154" s="14"/>
      <c r="K154" s="23"/>
      <c r="L154" s="28"/>
      <c r="M154" s="28"/>
      <c r="N154" s="28"/>
    </row>
    <row r="155" spans="1:20" x14ac:dyDescent="0.25">
      <c r="A155" s="110"/>
      <c r="B155" s="94"/>
      <c r="C155" s="96"/>
      <c r="D155" s="14"/>
      <c r="E155" s="23"/>
      <c r="F155" s="23"/>
      <c r="G155" s="23"/>
      <c r="H155" s="23"/>
      <c r="I155" s="23"/>
      <c r="J155" s="23"/>
      <c r="K155" s="23"/>
      <c r="L155" s="28"/>
      <c r="M155" s="28"/>
      <c r="N155" s="28"/>
    </row>
    <row r="156" spans="1:20" x14ac:dyDescent="0.25">
      <c r="A156" s="93" t="s">
        <v>264</v>
      </c>
      <c r="B156" s="108">
        <f>B145*B154</f>
        <v>374.64828000000023</v>
      </c>
      <c r="D156" s="14"/>
      <c r="E156" s="23"/>
      <c r="F156" s="23"/>
      <c r="G156" s="23"/>
      <c r="H156" s="23"/>
      <c r="I156" s="23"/>
      <c r="J156" s="23"/>
      <c r="K156" s="23"/>
      <c r="L156" s="28"/>
      <c r="M156" s="28"/>
      <c r="N156" s="28"/>
    </row>
    <row r="157" spans="1:20" x14ac:dyDescent="0.25">
      <c r="A157" s="93" t="s">
        <v>265</v>
      </c>
      <c r="B157" s="94">
        <f>B123/B156</f>
        <v>4.2832950556325899</v>
      </c>
      <c r="C157" s="96" t="s">
        <v>151</v>
      </c>
      <c r="D157" s="135" t="s">
        <v>153</v>
      </c>
      <c r="E157" s="139"/>
      <c r="F157" s="139"/>
      <c r="G157" s="139"/>
      <c r="H157" s="139"/>
      <c r="I157" s="139"/>
      <c r="J157" s="139"/>
      <c r="K157" s="23"/>
      <c r="L157" s="28"/>
      <c r="M157" s="28"/>
      <c r="N157" s="28"/>
    </row>
    <row r="158" spans="1:20" x14ac:dyDescent="0.25">
      <c r="A158" s="93"/>
      <c r="B158" s="94"/>
      <c r="C158" s="96"/>
      <c r="D158" s="14"/>
      <c r="E158" s="23"/>
      <c r="F158" s="23"/>
      <c r="G158" s="23"/>
      <c r="H158" s="23"/>
      <c r="I158" s="23"/>
      <c r="J158" s="23"/>
      <c r="K158" s="23"/>
      <c r="L158" s="28"/>
      <c r="M158" s="28"/>
      <c r="N158" s="28"/>
    </row>
    <row r="159" spans="1:20" x14ac:dyDescent="0.25">
      <c r="A159" s="136" t="s">
        <v>142</v>
      </c>
      <c r="B159" s="111"/>
      <c r="C159" s="96"/>
      <c r="D159" s="14"/>
      <c r="E159" s="23"/>
      <c r="F159" s="23"/>
      <c r="G159" s="23"/>
      <c r="H159" s="23"/>
      <c r="I159" s="23"/>
      <c r="J159" s="23"/>
      <c r="K159" s="23"/>
      <c r="L159" s="28"/>
      <c r="M159" s="28"/>
      <c r="N159" s="28"/>
    </row>
    <row r="160" spans="1:20" x14ac:dyDescent="0.25">
      <c r="A160" s="93" t="s">
        <v>141</v>
      </c>
      <c r="B160" s="121">
        <v>0.2</v>
      </c>
      <c r="C160" s="96" t="s">
        <v>71</v>
      </c>
      <c r="D160" s="147" t="s">
        <v>154</v>
      </c>
      <c r="E160" s="148"/>
      <c r="F160" s="148"/>
      <c r="G160" s="148"/>
      <c r="H160" s="148"/>
      <c r="I160" s="148"/>
      <c r="J160" s="148"/>
      <c r="K160" s="148"/>
      <c r="L160" s="149"/>
      <c r="M160" s="28"/>
      <c r="N160" s="28"/>
    </row>
    <row r="161" spans="1:14" x14ac:dyDescent="0.25">
      <c r="A161" s="93" t="s">
        <v>266</v>
      </c>
      <c r="B161" s="94">
        <f>B156*(1+B160)</f>
        <v>449.57793600000025</v>
      </c>
      <c r="C161" s="96"/>
      <c r="D161" s="14"/>
      <c r="E161" s="23"/>
      <c r="F161" s="23"/>
      <c r="G161" s="23"/>
      <c r="H161" s="23"/>
      <c r="I161" s="23"/>
      <c r="J161" s="23"/>
      <c r="K161" s="23"/>
      <c r="L161" s="28"/>
      <c r="M161" s="28"/>
      <c r="N161" s="28"/>
    </row>
    <row r="162" spans="1:14" ht="13.8" thickBot="1" x14ac:dyDescent="0.3">
      <c r="A162" s="131" t="s">
        <v>267</v>
      </c>
      <c r="B162" s="142">
        <f>B123/B161</f>
        <v>3.5694125463604918</v>
      </c>
      <c r="C162" s="76" t="s">
        <v>71</v>
      </c>
      <c r="D162" s="135" t="s">
        <v>155</v>
      </c>
      <c r="E162" s="138"/>
      <c r="F162" s="138"/>
      <c r="G162" s="138"/>
      <c r="H162" s="138"/>
      <c r="I162" s="138"/>
      <c r="J162" s="138"/>
      <c r="K162" s="23"/>
      <c r="L162" s="28"/>
      <c r="M162" s="28"/>
      <c r="N162" s="28"/>
    </row>
    <row r="163" spans="1:14" x14ac:dyDescent="0.25">
      <c r="A163" s="1"/>
    </row>
    <row r="164" spans="1:14" x14ac:dyDescent="0.25">
      <c r="A164" s="193" t="s">
        <v>268</v>
      </c>
      <c r="C164" s="89" t="s">
        <v>218</v>
      </c>
      <c r="D164" s="60"/>
      <c r="E164" s="61"/>
      <c r="F164" s="175"/>
      <c r="G164" s="61"/>
      <c r="H164" s="61"/>
      <c r="I164" s="61"/>
      <c r="J164" s="61"/>
      <c r="K164" s="192"/>
    </row>
    <row r="165" spans="1:14" ht="14.4" x14ac:dyDescent="0.3">
      <c r="A165" s="194" t="s">
        <v>215</v>
      </c>
      <c r="B165" s="80"/>
      <c r="C165" s="90" t="s">
        <v>99</v>
      </c>
      <c r="D165" s="176"/>
      <c r="E165" s="176" t="s">
        <v>216</v>
      </c>
      <c r="F165" s="63"/>
      <c r="G165" s="69"/>
      <c r="H165" s="141" t="s">
        <v>50</v>
      </c>
      <c r="I165" s="182" t="s">
        <v>269</v>
      </c>
      <c r="J165" s="191"/>
      <c r="K165" s="70"/>
    </row>
    <row r="167" spans="1:14" ht="14.4" x14ac:dyDescent="0.3">
      <c r="A167" s="195"/>
      <c r="B167" s="6"/>
      <c r="C167" s="6"/>
      <c r="D167" s="6"/>
    </row>
    <row r="168" spans="1:14" x14ac:dyDescent="0.25">
      <c r="A168" s="1"/>
      <c r="B168" s="6"/>
      <c r="C168" s="6"/>
      <c r="D168" s="6"/>
    </row>
    <row r="169" spans="1:14" ht="15.6" x14ac:dyDescent="0.3">
      <c r="A169" s="86"/>
      <c r="C169" s="83"/>
      <c r="D169" s="82"/>
      <c r="E169" s="84"/>
      <c r="F169" s="84"/>
      <c r="G169" s="84"/>
      <c r="H169" s="84"/>
      <c r="I169" s="84"/>
    </row>
    <row r="170" spans="1:14" ht="15.6" x14ac:dyDescent="0.3">
      <c r="A170" s="81"/>
      <c r="B170" s="82"/>
      <c r="C170" s="83"/>
      <c r="D170" s="83"/>
      <c r="E170" s="84"/>
      <c r="F170" s="84"/>
      <c r="G170" s="84"/>
      <c r="H170" s="84"/>
      <c r="I170" s="84"/>
    </row>
    <row r="171" spans="1:14" ht="15.6" x14ac:dyDescent="0.3">
      <c r="A171" s="86"/>
      <c r="B171" s="184"/>
      <c r="C171"/>
      <c r="D171" s="87"/>
      <c r="E171"/>
      <c r="F171"/>
      <c r="G171"/>
      <c r="H171"/>
      <c r="I171"/>
      <c r="J171"/>
      <c r="K171"/>
      <c r="L171"/>
      <c r="M171"/>
      <c r="N171"/>
    </row>
    <row r="172" spans="1:14" ht="15.6" x14ac:dyDescent="0.3">
      <c r="A172" s="86"/>
      <c r="B172" s="72"/>
      <c r="C172"/>
      <c r="D172" s="87"/>
      <c r="E172"/>
      <c r="F172"/>
      <c r="G172"/>
      <c r="H172"/>
      <c r="I172"/>
      <c r="J172"/>
      <c r="K172"/>
      <c r="L172"/>
      <c r="M172"/>
      <c r="N172"/>
    </row>
    <row r="173" spans="1:14" ht="15.6" x14ac:dyDescent="0.3">
      <c r="A173" s="86"/>
      <c r="B173" s="82"/>
      <c r="C173" s="87"/>
      <c r="D173" s="83"/>
      <c r="E173" s="84"/>
      <c r="F173" s="84"/>
      <c r="G173" s="84"/>
      <c r="H173" s="84"/>
      <c r="I173" s="84"/>
    </row>
    <row r="174" spans="1:14" ht="15.6" x14ac:dyDescent="0.3">
      <c r="A174" s="82"/>
      <c r="B174" s="185"/>
      <c r="C174" s="185"/>
      <c r="D174" s="85"/>
      <c r="G174"/>
      <c r="H174" s="84"/>
      <c r="I174" s="84"/>
    </row>
    <row r="175" spans="1:14" ht="15.6" x14ac:dyDescent="0.3">
      <c r="A175" s="86"/>
      <c r="B175" s="185"/>
      <c r="C175" s="185"/>
      <c r="G175"/>
      <c r="H175" s="84"/>
      <c r="I175" s="84"/>
    </row>
    <row r="176" spans="1:14" ht="15.6" x14ac:dyDescent="0.3">
      <c r="A176" s="86"/>
      <c r="B176" s="82"/>
      <c r="C176" s="87"/>
      <c r="D176" s="83"/>
      <c r="E176" s="84"/>
      <c r="F176" s="84"/>
      <c r="G176" s="84"/>
      <c r="H176" s="84"/>
      <c r="I176" s="84"/>
    </row>
    <row r="177" spans="1:15" ht="15.45" customHeight="1" x14ac:dyDescent="0.3">
      <c r="A177" s="205"/>
      <c r="B177" s="205"/>
      <c r="C177" s="205"/>
      <c r="D177" s="186"/>
      <c r="E177" s="83"/>
      <c r="F177" s="83"/>
      <c r="G177" s="83"/>
      <c r="H177" s="83"/>
      <c r="I177" s="84"/>
    </row>
    <row r="178" spans="1:15" ht="15.6" x14ac:dyDescent="0.3">
      <c r="A178" s="187"/>
      <c r="B178" s="187"/>
      <c r="C178" s="187"/>
      <c r="D178" s="186"/>
      <c r="E178" s="83"/>
      <c r="F178" s="83"/>
      <c r="G178" s="83"/>
      <c r="H178" s="83"/>
      <c r="I178" s="84"/>
    </row>
    <row r="179" spans="1:15" ht="15.6" x14ac:dyDescent="0.3">
      <c r="A179" s="82"/>
      <c r="B179" s="6"/>
      <c r="C179" s="6"/>
      <c r="D179" s="6"/>
    </row>
    <row r="180" spans="1:15" ht="15.6" customHeight="1" x14ac:dyDescent="0.3">
      <c r="A180" s="88"/>
      <c r="B180" s="85"/>
      <c r="D180" s="72"/>
      <c r="I180" s="204"/>
      <c r="J180" s="204"/>
    </row>
    <row r="181" spans="1:15" x14ac:dyDescent="0.25">
      <c r="C181"/>
    </row>
    <row r="182" spans="1:15" x14ac:dyDescent="0.25">
      <c r="A182" s="4"/>
      <c r="B182" s="6"/>
      <c r="C182" s="6"/>
      <c r="F182"/>
      <c r="G182"/>
      <c r="H182"/>
      <c r="I182"/>
    </row>
    <row r="183" spans="1:15" x14ac:dyDescent="0.25">
      <c r="B183" s="203"/>
      <c r="C183" s="20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x14ac:dyDescent="0.25">
      <c r="B184" s="203"/>
      <c r="C184" s="203"/>
      <c r="D184"/>
      <c r="E184"/>
      <c r="F184"/>
      <c r="G184"/>
      <c r="H184"/>
      <c r="I184"/>
      <c r="J184" s="203"/>
      <c r="K184" s="203"/>
      <c r="L184"/>
      <c r="M184"/>
      <c r="N184"/>
      <c r="O184"/>
    </row>
    <row r="185" spans="1:15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x14ac:dyDescent="0.25">
      <c r="B187"/>
      <c r="C187"/>
      <c r="D187"/>
      <c r="E187" s="16"/>
      <c r="L187"/>
      <c r="M187"/>
      <c r="N187"/>
      <c r="O187"/>
    </row>
    <row r="188" spans="1:15" x14ac:dyDescent="0.25">
      <c r="B188"/>
      <c r="C188"/>
      <c r="D188"/>
      <c r="E188" s="16"/>
      <c r="L188"/>
      <c r="M188"/>
      <c r="N188"/>
      <c r="O188"/>
    </row>
    <row r="189" spans="1:15" x14ac:dyDescent="0.25">
      <c r="B189"/>
      <c r="C189"/>
      <c r="D189"/>
      <c r="E189" s="16"/>
      <c r="L189"/>
      <c r="M189"/>
      <c r="N189"/>
      <c r="O189"/>
    </row>
    <row r="190" spans="1:15" x14ac:dyDescent="0.25">
      <c r="B190"/>
      <c r="C190"/>
      <c r="D190"/>
      <c r="E190" s="16"/>
      <c r="L190"/>
      <c r="M190"/>
      <c r="N190"/>
      <c r="O190"/>
    </row>
    <row r="191" spans="1:15" x14ac:dyDescent="0.25">
      <c r="B191"/>
      <c r="C191"/>
      <c r="D191"/>
      <c r="E191" s="16"/>
      <c r="L191"/>
      <c r="M191"/>
      <c r="N191"/>
      <c r="O191"/>
    </row>
    <row r="192" spans="1:15" x14ac:dyDescent="0.25">
      <c r="B192"/>
      <c r="C192"/>
      <c r="D192"/>
      <c r="E192" s="16"/>
      <c r="L192"/>
      <c r="M192"/>
      <c r="N192"/>
      <c r="O192"/>
    </row>
    <row r="193" spans="2:15" x14ac:dyDescent="0.25">
      <c r="B193"/>
      <c r="C193"/>
      <c r="D193"/>
      <c r="E193" s="16"/>
      <c r="L193"/>
      <c r="M193"/>
      <c r="N193"/>
      <c r="O193"/>
    </row>
    <row r="194" spans="2:15" x14ac:dyDescent="0.25">
      <c r="B194"/>
      <c r="C194"/>
      <c r="D194"/>
      <c r="L194"/>
      <c r="M194"/>
      <c r="N194"/>
      <c r="O194"/>
    </row>
    <row r="195" spans="2:15" x14ac:dyDescent="0.25">
      <c r="B195"/>
      <c r="C195"/>
      <c r="D195"/>
      <c r="L195"/>
      <c r="M195"/>
      <c r="N195"/>
      <c r="O195"/>
    </row>
    <row r="196" spans="2:15" x14ac:dyDescent="0.25">
      <c r="B196"/>
      <c r="C196"/>
      <c r="D196"/>
      <c r="F196" s="6"/>
      <c r="L196"/>
      <c r="M196"/>
      <c r="N196"/>
      <c r="O196"/>
    </row>
    <row r="197" spans="2:15" x14ac:dyDescent="0.25">
      <c r="B197"/>
      <c r="C197"/>
      <c r="D197"/>
      <c r="L197"/>
      <c r="M197"/>
      <c r="N197"/>
      <c r="O197"/>
    </row>
    <row r="198" spans="2:15" x14ac:dyDescent="0.25">
      <c r="B198"/>
      <c r="C198"/>
      <c r="D198"/>
      <c r="L198"/>
      <c r="M198"/>
      <c r="N198"/>
      <c r="O198"/>
    </row>
    <row r="199" spans="2:15" x14ac:dyDescent="0.25">
      <c r="B199"/>
      <c r="C199"/>
      <c r="D199"/>
      <c r="L199"/>
      <c r="M199"/>
      <c r="N199"/>
      <c r="O199"/>
    </row>
    <row r="200" spans="2:15" x14ac:dyDescent="0.25">
      <c r="B200"/>
      <c r="C200"/>
      <c r="D200"/>
      <c r="L200"/>
      <c r="M200"/>
      <c r="N200"/>
      <c r="O200"/>
    </row>
    <row r="201" spans="2:15" x14ac:dyDescent="0.25">
      <c r="B201"/>
      <c r="C201"/>
      <c r="D201"/>
      <c r="L201"/>
      <c r="M201"/>
      <c r="N201"/>
      <c r="O201"/>
    </row>
    <row r="202" spans="2:15" x14ac:dyDescent="0.25">
      <c r="B202"/>
      <c r="C202"/>
      <c r="D202"/>
      <c r="E202" s="31"/>
      <c r="L202"/>
      <c r="M202"/>
      <c r="N202"/>
      <c r="O202"/>
    </row>
    <row r="203" spans="2:15" x14ac:dyDescent="0.25">
      <c r="B203"/>
      <c r="C203"/>
      <c r="D203"/>
      <c r="E203" s="31"/>
    </row>
    <row r="204" spans="2:15" x14ac:dyDescent="0.25">
      <c r="B204"/>
      <c r="C204"/>
      <c r="D204"/>
    </row>
    <row r="205" spans="2:15" x14ac:dyDescent="0.25">
      <c r="B205"/>
      <c r="C205"/>
      <c r="D205"/>
    </row>
    <row r="206" spans="2:15" x14ac:dyDescent="0.25">
      <c r="B206"/>
      <c r="C206"/>
      <c r="D206"/>
    </row>
  </sheetData>
  <mergeCells count="11">
    <mergeCell ref="J184:K184"/>
    <mergeCell ref="I180:J180"/>
    <mergeCell ref="A177:C177"/>
    <mergeCell ref="M1:P2"/>
    <mergeCell ref="C19:D19"/>
    <mergeCell ref="C18:F18"/>
    <mergeCell ref="B184:C184"/>
    <mergeCell ref="C20:D20"/>
    <mergeCell ref="B183:C183"/>
    <mergeCell ref="F1:J2"/>
    <mergeCell ref="A1:D2"/>
  </mergeCells>
  <phoneticPr fontId="0" type="noConversion"/>
  <hyperlinks>
    <hyperlink ref="L95" r:id="rId1" xr:uid="{3B5FC267-1883-4BDA-9D9D-DAB6670184AA}"/>
    <hyperlink ref="E165" r:id="rId2" xr:uid="{8F1D4B10-FC25-4BB4-BBBA-59659268C280}"/>
  </hyperlinks>
  <printOptions gridLines="1"/>
  <pageMargins left="1.29" right="0.75" top="1" bottom="1" header="0.5" footer="0.5"/>
  <pageSetup scale="58" fitToHeight="3" orientation="landscape" r:id="rId3"/>
  <headerFooter alignWithMargins="0"/>
  <rowBreaks count="2" manualBreakCount="2">
    <brk id="57" max="16" man="1"/>
    <brk id="10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Shortleaf Hi FIA 1077 Seedlings</vt:lpstr>
      <vt:lpstr>'Shortleaf Hi FIA 1077 Seedlings'!Print_Area</vt:lpstr>
    </vt:vector>
  </TitlesOfParts>
  <Company>NCSU Forestry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Frederick Cubbage</cp:lastModifiedBy>
  <cp:lastPrinted>2026-01-19T15:22:35Z</cp:lastPrinted>
  <dcterms:created xsi:type="dcterms:W3CDTF">2003-10-16T19:24:51Z</dcterms:created>
  <dcterms:modified xsi:type="dcterms:W3CDTF">2026-01-19T15:24:02Z</dcterms:modified>
</cp:coreProperties>
</file>